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70" windowHeight="0" tabRatio="866" firstSheet="10" activeTab="17"/>
  </bookViews>
  <sheets>
    <sheet name="Общая" sheetId="10" r:id="rId1"/>
    <sheet name="Район" sheetId="31" r:id="rId2"/>
    <sheet name="Бодеевское с.п." sheetId="13" r:id="rId3"/>
    <sheet name="Высокинское с.п." sheetId="6" r:id="rId4"/>
    <sheet name="Дракинское с.п." sheetId="11" r:id="rId5"/>
    <sheet name="Залуженское с.п." sheetId="20" r:id="rId6"/>
    <sheet name="Ковалевское с.п." sheetId="24" r:id="rId7"/>
    <sheet name="Коломыцевское с.п." sheetId="21" r:id="rId8"/>
    <sheet name="Колыбельское с.п." sheetId="23" r:id="rId9"/>
    <sheet name="Копанищенское с.п." sheetId="19" r:id="rId10"/>
    <sheet name="Краснознаменское с.п." sheetId="3" r:id="rId11"/>
    <sheet name="Нижнеикорецкое с.п." sheetId="7" r:id="rId12"/>
    <sheet name="Петровское с.п." sheetId="12" r:id="rId13"/>
    <sheet name="Петропавловское с.п." sheetId="25" r:id="rId14"/>
    <sheet name="Почепское с.п." sheetId="17" r:id="rId15"/>
    <sheet name="Селявинское с.п." sheetId="26" r:id="rId16"/>
    <sheet name="Среднеикорецкое с.п." sheetId="22" r:id="rId17"/>
    <sheet name="Старохворостанское с.п." sheetId="16" r:id="rId18"/>
    <sheet name="Степнянское с.п." sheetId="18" r:id="rId19"/>
    <sheet name="Сторожевское с.п." sheetId="15" r:id="rId20"/>
    <sheet name="Тресоруковское с.п." sheetId="9" r:id="rId21"/>
    <sheet name="Троицкое с.п." sheetId="14" r:id="rId22"/>
    <sheet name="Щучинское с.п." sheetId="5" r:id="rId23"/>
    <sheet name="Давыдовское г.п." sheetId="29" r:id="rId24"/>
    <sheet name="г.п.г. Лиски" sheetId="30" r:id="rId25"/>
    <sheet name="Лист4" sheetId="28" r:id="rId26"/>
    <sheet name="Пояснения" sheetId="2" r:id="rId27"/>
    <sheet name="Лист2" sheetId="27" r:id="rId28"/>
    <sheet name="Лист3" sheetId="4" r:id="rId29"/>
  </sheets>
  <definedNames>
    <definedName name="_xlnm.Print_Titles" localSheetId="24">'г.п.г. Лиски'!$9:$9</definedName>
    <definedName name="_xlnm.Print_Area" localSheetId="2">'Бодеевское с.п.'!$A$1:$K$54</definedName>
    <definedName name="_xlnm.Print_Area" localSheetId="3">'Высокинское с.п.'!$A$1:$K$103</definedName>
    <definedName name="_xlnm.Print_Area" localSheetId="4">'Дракинское с.п.'!$A$1:$K$55</definedName>
    <definedName name="_xlnm.Print_Area" localSheetId="10">'Краснознаменское с.п.'!$A$1:$K$79</definedName>
  </definedNames>
  <calcPr calcId="162913"/>
</workbook>
</file>

<file path=xl/calcChain.xml><?xml version="1.0" encoding="utf-8"?>
<calcChain xmlns="http://schemas.openxmlformats.org/spreadsheetml/2006/main">
  <c r="H37" i="22" l="1"/>
  <c r="J51" i="22" l="1"/>
  <c r="H51" i="22"/>
  <c r="I40" i="17" l="1"/>
  <c r="H40" i="17"/>
  <c r="H36" i="25"/>
  <c r="H30" i="7" l="1"/>
  <c r="H13" i="23" l="1"/>
  <c r="I13" i="23"/>
  <c r="H12" i="21"/>
  <c r="K76" i="9" l="1"/>
  <c r="H27" i="5" l="1"/>
  <c r="H27" i="14"/>
  <c r="H19" i="14"/>
  <c r="H52" i="9"/>
  <c r="H47" i="9"/>
  <c r="H38" i="9"/>
  <c r="H37" i="9"/>
  <c r="H21" i="9"/>
  <c r="H12" i="15" l="1"/>
  <c r="H11" i="15"/>
  <c r="H22" i="18"/>
  <c r="H15" i="18"/>
  <c r="H61" i="16"/>
  <c r="H46" i="16"/>
  <c r="H45" i="16"/>
  <c r="H44" i="16"/>
  <c r="H43" i="16"/>
  <c r="H40" i="16"/>
  <c r="H38" i="16"/>
  <c r="H36" i="16"/>
  <c r="H35" i="16"/>
  <c r="H34" i="16"/>
  <c r="H33" i="16"/>
  <c r="H30" i="16"/>
  <c r="J25" i="16"/>
  <c r="H25" i="16"/>
  <c r="H22" i="16"/>
  <c r="H17" i="16"/>
  <c r="H16" i="16"/>
  <c r="H13" i="16"/>
  <c r="H57" i="22" l="1"/>
  <c r="H45" i="22"/>
  <c r="H44" i="22"/>
  <c r="H36" i="22"/>
  <c r="H32" i="22"/>
  <c r="H28" i="22"/>
  <c r="H27" i="22"/>
  <c r="H22" i="22"/>
  <c r="J18" i="22"/>
  <c r="H18" i="22"/>
  <c r="J12" i="22"/>
  <c r="H12" i="22"/>
  <c r="J32" i="26"/>
  <c r="H32" i="26"/>
  <c r="H28" i="26"/>
  <c r="H27" i="26"/>
  <c r="H20" i="26"/>
  <c r="H19" i="26"/>
  <c r="H11" i="26"/>
  <c r="H48" i="17" l="1"/>
  <c r="H46" i="17"/>
  <c r="H38" i="17"/>
  <c r="H37" i="17"/>
  <c r="H35" i="17"/>
  <c r="H33" i="17"/>
  <c r="J40" i="25"/>
  <c r="H40" i="25"/>
  <c r="H33" i="25"/>
  <c r="H31" i="25"/>
  <c r="H19" i="25"/>
  <c r="H16" i="25"/>
  <c r="H11" i="25"/>
  <c r="H28" i="12"/>
  <c r="H33" i="7"/>
  <c r="H26" i="7"/>
  <c r="J24" i="7"/>
  <c r="H24" i="7"/>
  <c r="J23" i="7"/>
  <c r="H23" i="7"/>
  <c r="H15" i="7"/>
  <c r="H19" i="3"/>
  <c r="H12" i="3"/>
  <c r="H13" i="19"/>
  <c r="H11" i="19"/>
  <c r="H21" i="23"/>
  <c r="H19" i="23"/>
  <c r="H11" i="23"/>
  <c r="H28" i="21"/>
  <c r="H26" i="21"/>
  <c r="H22" i="21"/>
  <c r="H21" i="21"/>
  <c r="H15" i="21"/>
  <c r="H51" i="24"/>
  <c r="H47" i="24"/>
  <c r="H27" i="24"/>
  <c r="H26" i="24"/>
  <c r="H20" i="24" l="1"/>
  <c r="H19" i="24"/>
  <c r="H13" i="24"/>
  <c r="H87" i="20"/>
  <c r="H84" i="20"/>
  <c r="H83" i="20"/>
  <c r="H77" i="20"/>
  <c r="H71" i="20"/>
  <c r="H68" i="20"/>
  <c r="H67" i="20"/>
  <c r="H64" i="20"/>
  <c r="H58" i="20" l="1"/>
  <c r="H56" i="20"/>
  <c r="H55" i="20"/>
  <c r="H46" i="20"/>
  <c r="H44" i="20"/>
  <c r="H43" i="20"/>
  <c r="H39" i="20"/>
  <c r="H38" i="20"/>
  <c r="H31" i="20"/>
  <c r="H30" i="20"/>
  <c r="H27" i="20"/>
  <c r="H23" i="20"/>
  <c r="H19" i="20"/>
  <c r="H14" i="20"/>
  <c r="H12" i="13" l="1"/>
  <c r="H11" i="13"/>
  <c r="I27" i="5" l="1"/>
  <c r="H22" i="23" l="1"/>
  <c r="I15" i="13"/>
  <c r="I27" i="22" l="1"/>
  <c r="H38" i="25"/>
  <c r="I38" i="25"/>
  <c r="I23" i="7"/>
  <c r="I64" i="20"/>
  <c r="J57" i="24" l="1"/>
  <c r="J507" i="30" l="1"/>
  <c r="J508" i="30"/>
  <c r="J509" i="30"/>
  <c r="J510" i="30"/>
  <c r="J9" i="11" l="1"/>
  <c r="I9" i="11"/>
  <c r="H9" i="11"/>
  <c r="K10" i="11"/>
  <c r="I14" i="12" l="1"/>
  <c r="H14" i="12"/>
  <c r="H11" i="20"/>
  <c r="I25" i="16"/>
  <c r="I36" i="7" l="1"/>
  <c r="H36" i="7"/>
  <c r="I18" i="5" l="1"/>
  <c r="H18" i="5"/>
  <c r="I21" i="5"/>
  <c r="H21" i="5"/>
  <c r="H41" i="22"/>
  <c r="I41" i="22"/>
  <c r="I22" i="26"/>
  <c r="H22" i="26"/>
  <c r="J28" i="17"/>
  <c r="H19" i="17"/>
  <c r="I19" i="17"/>
  <c r="J42" i="25"/>
  <c r="I42" i="25"/>
  <c r="I11" i="23" l="1"/>
  <c r="I49" i="29" l="1"/>
  <c r="H49" i="29"/>
  <c r="J67" i="29"/>
  <c r="I67" i="29"/>
  <c r="H67" i="29"/>
  <c r="I19" i="29"/>
  <c r="H19" i="29"/>
  <c r="I55" i="29"/>
  <c r="H55" i="29"/>
  <c r="I34" i="29"/>
  <c r="H34" i="29"/>
  <c r="I38" i="29"/>
  <c r="H38" i="29"/>
  <c r="I23" i="14"/>
  <c r="H23" i="14"/>
  <c r="I24" i="7"/>
  <c r="I14" i="9" l="1"/>
  <c r="H14" i="9"/>
  <c r="J13" i="22"/>
  <c r="H13" i="22"/>
  <c r="I13" i="22"/>
  <c r="I20" i="26"/>
  <c r="H42" i="25"/>
  <c r="I14" i="20" l="1"/>
  <c r="F10" i="10" l="1"/>
  <c r="E10" i="10"/>
  <c r="H10" i="6" l="1"/>
  <c r="I10" i="6"/>
  <c r="K11" i="6"/>
  <c r="K12" i="6"/>
  <c r="K61" i="20" l="1"/>
  <c r="K11" i="31"/>
  <c r="K10" i="31" l="1"/>
  <c r="K9" i="31"/>
  <c r="K7" i="31" l="1"/>
  <c r="K6" i="31"/>
  <c r="I5" i="31"/>
  <c r="I4" i="31" s="1"/>
  <c r="E7" i="10" s="1"/>
  <c r="K5" i="31"/>
  <c r="J4" i="31"/>
  <c r="F7" i="10" s="1"/>
  <c r="H4" i="31"/>
  <c r="D7" i="10" s="1"/>
  <c r="K4" i="31" l="1"/>
  <c r="G7" i="10"/>
  <c r="K81" i="16"/>
  <c r="K82" i="16"/>
  <c r="J17" i="29" l="1"/>
  <c r="H23" i="29"/>
  <c r="J32" i="29"/>
  <c r="J23" i="29"/>
  <c r="J18" i="29"/>
  <c r="I23" i="29"/>
  <c r="H30" i="29"/>
  <c r="H29" i="29"/>
  <c r="H20" i="29"/>
  <c r="H16" i="29"/>
  <c r="K13" i="5"/>
  <c r="H12" i="5"/>
  <c r="I19" i="5"/>
  <c r="I15" i="5"/>
  <c r="K31" i="14"/>
  <c r="K20" i="12" l="1"/>
  <c r="K26" i="12"/>
  <c r="K13" i="12"/>
  <c r="H73" i="20" l="1"/>
  <c r="K37" i="20"/>
  <c r="K15" i="20"/>
  <c r="K41" i="11"/>
  <c r="J11" i="30" l="1"/>
  <c r="J12" i="30"/>
  <c r="J13" i="30"/>
  <c r="J14" i="30"/>
  <c r="J15" i="30"/>
  <c r="J16" i="30"/>
  <c r="J17" i="30"/>
  <c r="J18" i="30"/>
  <c r="J19" i="30"/>
  <c r="J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J35" i="30"/>
  <c r="J36" i="30"/>
  <c r="J37" i="30"/>
  <c r="J38" i="30"/>
  <c r="J39" i="30"/>
  <c r="J40" i="30"/>
  <c r="J41" i="30"/>
  <c r="J42" i="30"/>
  <c r="J43" i="30"/>
  <c r="J44" i="30"/>
  <c r="J45" i="30"/>
  <c r="J46" i="30"/>
  <c r="J47" i="30"/>
  <c r="J48" i="30"/>
  <c r="J49" i="30"/>
  <c r="J50" i="30"/>
  <c r="J51" i="30"/>
  <c r="J52" i="30"/>
  <c r="J53" i="30"/>
  <c r="J54" i="30"/>
  <c r="J55" i="30"/>
  <c r="J56" i="30"/>
  <c r="J57" i="30"/>
  <c r="J58" i="30"/>
  <c r="J59" i="30"/>
  <c r="J60" i="30"/>
  <c r="J61" i="30"/>
  <c r="J62" i="30"/>
  <c r="J63" i="30"/>
  <c r="J64" i="30"/>
  <c r="J65" i="30"/>
  <c r="J66" i="30"/>
  <c r="J67" i="30"/>
  <c r="J68" i="30"/>
  <c r="J69" i="30"/>
  <c r="J70" i="30"/>
  <c r="J71" i="30"/>
  <c r="J72" i="30"/>
  <c r="J73" i="30"/>
  <c r="J74" i="30"/>
  <c r="J75" i="30"/>
  <c r="J76" i="30"/>
  <c r="J77" i="30"/>
  <c r="J78" i="30"/>
  <c r="J79" i="30"/>
  <c r="J80" i="30"/>
  <c r="J81" i="30"/>
  <c r="J82" i="30"/>
  <c r="J83" i="30"/>
  <c r="J84" i="30"/>
  <c r="J85" i="30"/>
  <c r="J86" i="30"/>
  <c r="J87" i="30"/>
  <c r="J88" i="30"/>
  <c r="J89" i="30"/>
  <c r="J90" i="30"/>
  <c r="J91" i="30"/>
  <c r="J92" i="30"/>
  <c r="J93" i="30"/>
  <c r="J94" i="30"/>
  <c r="J95" i="30"/>
  <c r="J96" i="30"/>
  <c r="J97" i="30"/>
  <c r="J98" i="30"/>
  <c r="J99" i="30"/>
  <c r="J100" i="30"/>
  <c r="J101" i="30"/>
  <c r="J102" i="30"/>
  <c r="J103" i="30"/>
  <c r="J104" i="30"/>
  <c r="J105" i="30"/>
  <c r="J106" i="30"/>
  <c r="J107" i="30"/>
  <c r="J108" i="30"/>
  <c r="J109" i="30"/>
  <c r="J110" i="30"/>
  <c r="J111" i="30"/>
  <c r="J112" i="30"/>
  <c r="J113" i="30"/>
  <c r="J114" i="30"/>
  <c r="J115" i="30"/>
  <c r="J116" i="30"/>
  <c r="J117" i="30"/>
  <c r="J118" i="30"/>
  <c r="J119" i="30"/>
  <c r="J120" i="30"/>
  <c r="J121" i="30"/>
  <c r="J122" i="30"/>
  <c r="J123" i="30"/>
  <c r="J124" i="30"/>
  <c r="J125" i="30"/>
  <c r="J126" i="30"/>
  <c r="J127" i="30"/>
  <c r="J128" i="30"/>
  <c r="J129" i="30"/>
  <c r="J130" i="30"/>
  <c r="J131" i="30"/>
  <c r="J132" i="30"/>
  <c r="J133" i="30"/>
  <c r="J134" i="30"/>
  <c r="J135" i="30"/>
  <c r="J136" i="30"/>
  <c r="J137" i="30"/>
  <c r="J138" i="30"/>
  <c r="J139" i="30"/>
  <c r="J140" i="30"/>
  <c r="J141" i="30"/>
  <c r="J142" i="30"/>
  <c r="J143" i="30"/>
  <c r="J144" i="30"/>
  <c r="J145" i="30"/>
  <c r="J146" i="30"/>
  <c r="J147" i="30"/>
  <c r="J148" i="30"/>
  <c r="J149" i="30"/>
  <c r="J150" i="30"/>
  <c r="J151" i="30"/>
  <c r="J152" i="30"/>
  <c r="J153" i="30"/>
  <c r="J154" i="30"/>
  <c r="J155" i="30"/>
  <c r="J156" i="30"/>
  <c r="J157" i="30"/>
  <c r="J158" i="30"/>
  <c r="J159" i="30"/>
  <c r="J160" i="30"/>
  <c r="J161" i="30"/>
  <c r="J162" i="30"/>
  <c r="J163" i="30"/>
  <c r="J164" i="30"/>
  <c r="J165" i="30"/>
  <c r="J166" i="30"/>
  <c r="J167" i="30"/>
  <c r="J168" i="30"/>
  <c r="J169" i="30"/>
  <c r="J170" i="30"/>
  <c r="J171" i="30"/>
  <c r="J172" i="30"/>
  <c r="J173" i="30"/>
  <c r="J174" i="30"/>
  <c r="J175" i="30"/>
  <c r="J176" i="30"/>
  <c r="J177" i="30"/>
  <c r="J178" i="30"/>
  <c r="J179" i="30"/>
  <c r="J180" i="30"/>
  <c r="J181" i="30"/>
  <c r="J182" i="30"/>
  <c r="J183" i="30"/>
  <c r="J184" i="30"/>
  <c r="J185" i="30"/>
  <c r="J186" i="30"/>
  <c r="J187" i="30"/>
  <c r="J188" i="30"/>
  <c r="J189" i="30"/>
  <c r="J190" i="30"/>
  <c r="J191" i="30"/>
  <c r="J192" i="30"/>
  <c r="J193" i="30"/>
  <c r="J194" i="30"/>
  <c r="J195" i="30"/>
  <c r="J196" i="30"/>
  <c r="J197" i="30"/>
  <c r="J198" i="30"/>
  <c r="J199" i="30"/>
  <c r="J200" i="30"/>
  <c r="J201" i="30"/>
  <c r="J202" i="30"/>
  <c r="J203" i="30"/>
  <c r="J204" i="30"/>
  <c r="J205" i="30"/>
  <c r="J206" i="30"/>
  <c r="J207" i="30"/>
  <c r="J208" i="30"/>
  <c r="J209" i="30"/>
  <c r="J210" i="30"/>
  <c r="J211" i="30"/>
  <c r="J212" i="30"/>
  <c r="J213" i="30"/>
  <c r="J214" i="30"/>
  <c r="J215" i="30"/>
  <c r="J216" i="30"/>
  <c r="J217" i="30"/>
  <c r="J218" i="30"/>
  <c r="J219" i="30"/>
  <c r="J220" i="30"/>
  <c r="J221" i="30"/>
  <c r="J222" i="30"/>
  <c r="J223" i="30"/>
  <c r="J224" i="30"/>
  <c r="J225" i="30"/>
  <c r="J226" i="30"/>
  <c r="J227" i="30"/>
  <c r="J228" i="30"/>
  <c r="J229" i="30"/>
  <c r="J230" i="30"/>
  <c r="J231" i="30"/>
  <c r="J232" i="30"/>
  <c r="J233" i="30"/>
  <c r="J234" i="30"/>
  <c r="J235" i="30"/>
  <c r="J236" i="30"/>
  <c r="J237" i="30"/>
  <c r="J238" i="30"/>
  <c r="J239" i="30"/>
  <c r="J240" i="30"/>
  <c r="J241" i="30"/>
  <c r="J242" i="30"/>
  <c r="J243" i="30"/>
  <c r="J244" i="30"/>
  <c r="J245" i="30"/>
  <c r="J246" i="30"/>
  <c r="J247" i="30"/>
  <c r="J248" i="30"/>
  <c r="J249" i="30"/>
  <c r="J250" i="30"/>
  <c r="J251" i="30"/>
  <c r="J252" i="30"/>
  <c r="J253" i="30"/>
  <c r="J254" i="30"/>
  <c r="J255" i="30"/>
  <c r="J256" i="30"/>
  <c r="J257" i="30"/>
  <c r="J258" i="30"/>
  <c r="J259" i="30"/>
  <c r="J260" i="30"/>
  <c r="J261" i="30"/>
  <c r="J262" i="30"/>
  <c r="J263" i="30"/>
  <c r="J264" i="30"/>
  <c r="J265" i="30"/>
  <c r="J266" i="30"/>
  <c r="J267" i="30"/>
  <c r="J268" i="30"/>
  <c r="J269" i="30"/>
  <c r="J270" i="30"/>
  <c r="J271" i="30"/>
  <c r="J272" i="30"/>
  <c r="J273" i="30"/>
  <c r="J274" i="30"/>
  <c r="J275" i="30"/>
  <c r="J276" i="30"/>
  <c r="J277" i="30"/>
  <c r="J278" i="30"/>
  <c r="J279" i="30"/>
  <c r="J280" i="30"/>
  <c r="J281" i="30"/>
  <c r="J282" i="30"/>
  <c r="J283" i="30"/>
  <c r="J284" i="30"/>
  <c r="J285" i="30"/>
  <c r="J286" i="30"/>
  <c r="J287" i="30"/>
  <c r="J288" i="30"/>
  <c r="J289" i="30"/>
  <c r="J290" i="30"/>
  <c r="J291" i="30"/>
  <c r="J292" i="30"/>
  <c r="J293" i="30"/>
  <c r="J294" i="30"/>
  <c r="J295" i="30"/>
  <c r="J296" i="30"/>
  <c r="J297" i="30"/>
  <c r="J298" i="30"/>
  <c r="J299" i="30"/>
  <c r="J300" i="30"/>
  <c r="J301" i="30"/>
  <c r="J302" i="30"/>
  <c r="J303" i="30"/>
  <c r="J304" i="30"/>
  <c r="J305" i="30"/>
  <c r="J306" i="30"/>
  <c r="J307" i="30"/>
  <c r="J308" i="30"/>
  <c r="J309" i="30"/>
  <c r="J310" i="30"/>
  <c r="J311" i="30"/>
  <c r="J312" i="30"/>
  <c r="J313" i="30"/>
  <c r="J314" i="30"/>
  <c r="J315" i="30"/>
  <c r="J316" i="30"/>
  <c r="J317" i="30"/>
  <c r="J318" i="30"/>
  <c r="J319" i="30"/>
  <c r="J320" i="30"/>
  <c r="J321" i="30"/>
  <c r="J322" i="30"/>
  <c r="J323" i="30"/>
  <c r="J324" i="30"/>
  <c r="J325" i="30"/>
  <c r="J326" i="30"/>
  <c r="J327" i="30"/>
  <c r="J328" i="30"/>
  <c r="J329" i="30"/>
  <c r="J330" i="30"/>
  <c r="J331" i="30"/>
  <c r="J332" i="30"/>
  <c r="J333" i="30"/>
  <c r="J334" i="30"/>
  <c r="J335" i="30"/>
  <c r="J336" i="30"/>
  <c r="J337" i="30"/>
  <c r="J338" i="30"/>
  <c r="J339" i="30"/>
  <c r="J340" i="30"/>
  <c r="J341" i="30"/>
  <c r="J342" i="30"/>
  <c r="J343" i="30"/>
  <c r="J344" i="30"/>
  <c r="J345" i="30"/>
  <c r="J346" i="30"/>
  <c r="J347" i="30"/>
  <c r="J348" i="30"/>
  <c r="J349" i="30"/>
  <c r="J350" i="30"/>
  <c r="J351" i="30"/>
  <c r="J352" i="30"/>
  <c r="J353" i="30"/>
  <c r="J354" i="30"/>
  <c r="J355" i="30"/>
  <c r="J356" i="30"/>
  <c r="J357" i="30"/>
  <c r="J358" i="30"/>
  <c r="J359" i="30"/>
  <c r="J360" i="30"/>
  <c r="J361" i="30"/>
  <c r="J362" i="30"/>
  <c r="J363" i="30"/>
  <c r="J364" i="30"/>
  <c r="J365" i="30"/>
  <c r="J366" i="30"/>
  <c r="J367" i="30"/>
  <c r="J368" i="30"/>
  <c r="J369" i="30"/>
  <c r="J370" i="30"/>
  <c r="J371" i="30"/>
  <c r="J372" i="30"/>
  <c r="J373" i="30"/>
  <c r="J374" i="30"/>
  <c r="J375" i="30"/>
  <c r="J376" i="30"/>
  <c r="J377" i="30"/>
  <c r="J378" i="30"/>
  <c r="J379" i="30"/>
  <c r="J380" i="30"/>
  <c r="J381" i="30"/>
  <c r="J382" i="30"/>
  <c r="J383" i="30"/>
  <c r="J384" i="30"/>
  <c r="J385" i="30"/>
  <c r="J386" i="30"/>
  <c r="J387" i="30"/>
  <c r="J388" i="30"/>
  <c r="J389" i="30"/>
  <c r="J390" i="30"/>
  <c r="J391" i="30"/>
  <c r="J392" i="30"/>
  <c r="J393" i="30"/>
  <c r="J394" i="30"/>
  <c r="J395" i="30"/>
  <c r="J396" i="30"/>
  <c r="J397" i="30"/>
  <c r="J398" i="30"/>
  <c r="J399" i="30"/>
  <c r="J400" i="30"/>
  <c r="J401" i="30"/>
  <c r="J402" i="30"/>
  <c r="J403" i="30"/>
  <c r="J404" i="30"/>
  <c r="J405" i="30"/>
  <c r="J406" i="30"/>
  <c r="J407" i="30"/>
  <c r="J408" i="30"/>
  <c r="J409" i="30"/>
  <c r="J410" i="30"/>
  <c r="J411" i="30"/>
  <c r="J412" i="30"/>
  <c r="J413" i="30"/>
  <c r="J414" i="30"/>
  <c r="J415" i="30"/>
  <c r="J416" i="30"/>
  <c r="J417" i="30"/>
  <c r="J418" i="30"/>
  <c r="J419" i="30"/>
  <c r="J420" i="30"/>
  <c r="J421" i="30"/>
  <c r="J422" i="30"/>
  <c r="J423" i="30"/>
  <c r="J424" i="30"/>
  <c r="J425" i="30"/>
  <c r="J426" i="30"/>
  <c r="J427" i="30"/>
  <c r="J428" i="30"/>
  <c r="J429" i="30"/>
  <c r="J430" i="30"/>
  <c r="J431" i="30"/>
  <c r="J432" i="30"/>
  <c r="J433" i="30"/>
  <c r="J434" i="30"/>
  <c r="J435" i="30"/>
  <c r="J436" i="30"/>
  <c r="J437" i="30"/>
  <c r="J438" i="30"/>
  <c r="J439" i="30"/>
  <c r="J440" i="30"/>
  <c r="J441" i="30"/>
  <c r="J442" i="30"/>
  <c r="J443" i="30"/>
  <c r="J444" i="30"/>
  <c r="J445" i="30"/>
  <c r="J446" i="30"/>
  <c r="J447" i="30"/>
  <c r="J448" i="30"/>
  <c r="J449" i="30"/>
  <c r="J450" i="30"/>
  <c r="J451" i="30"/>
  <c r="J452" i="30"/>
  <c r="J453" i="30"/>
  <c r="J454" i="30"/>
  <c r="J455" i="30"/>
  <c r="J456" i="30"/>
  <c r="J457" i="30"/>
  <c r="J458" i="30"/>
  <c r="J459" i="30"/>
  <c r="J460" i="30"/>
  <c r="J461" i="30"/>
  <c r="J462" i="30"/>
  <c r="J463" i="30"/>
  <c r="J464" i="30"/>
  <c r="J465" i="30"/>
  <c r="J466" i="30"/>
  <c r="J467" i="30"/>
  <c r="J468" i="30"/>
  <c r="J469" i="30"/>
  <c r="J470" i="30"/>
  <c r="J471" i="30"/>
  <c r="J472" i="30"/>
  <c r="J473" i="30"/>
  <c r="J474" i="30"/>
  <c r="J475" i="30"/>
  <c r="J476" i="30"/>
  <c r="J477" i="30"/>
  <c r="J478" i="30"/>
  <c r="J479" i="30"/>
  <c r="J480" i="30"/>
  <c r="J481" i="30"/>
  <c r="J482" i="30"/>
  <c r="J483" i="30"/>
  <c r="J484" i="30"/>
  <c r="J485" i="30"/>
  <c r="J486" i="30"/>
  <c r="J487" i="30"/>
  <c r="J488" i="30"/>
  <c r="J489" i="30"/>
  <c r="J490" i="30"/>
  <c r="J491" i="30"/>
  <c r="J492" i="30"/>
  <c r="J493" i="30"/>
  <c r="J494" i="30"/>
  <c r="J495" i="30"/>
  <c r="J496" i="30"/>
  <c r="J497" i="30"/>
  <c r="J498" i="30"/>
  <c r="J499" i="30"/>
  <c r="J500" i="30"/>
  <c r="J501" i="30"/>
  <c r="J502" i="30"/>
  <c r="J503" i="30"/>
  <c r="J504" i="30"/>
  <c r="J505" i="30"/>
  <c r="J506" i="30"/>
  <c r="G31" i="10" l="1"/>
  <c r="K76" i="29"/>
  <c r="K75" i="29"/>
  <c r="K74" i="29"/>
  <c r="K73" i="29"/>
  <c r="K72" i="29"/>
  <c r="K71" i="29"/>
  <c r="K70" i="29"/>
  <c r="K69" i="29"/>
  <c r="K68" i="29"/>
  <c r="K67" i="29"/>
  <c r="K66" i="29"/>
  <c r="K65" i="29"/>
  <c r="K64" i="29"/>
  <c r="K63" i="29"/>
  <c r="K62" i="29"/>
  <c r="K61" i="29"/>
  <c r="K60" i="29"/>
  <c r="K59" i="29"/>
  <c r="K58" i="29"/>
  <c r="K57" i="29"/>
  <c r="K56" i="29"/>
  <c r="K55" i="29"/>
  <c r="K54" i="29"/>
  <c r="K53" i="29"/>
  <c r="K52" i="29"/>
  <c r="K51" i="29"/>
  <c r="K50" i="29"/>
  <c r="K49" i="29"/>
  <c r="K48" i="29"/>
  <c r="K47" i="29"/>
  <c r="K46" i="29"/>
  <c r="K45" i="29"/>
  <c r="K44" i="29"/>
  <c r="K43" i="29"/>
  <c r="K42" i="29"/>
  <c r="K41" i="29"/>
  <c r="K40" i="29"/>
  <c r="K39" i="29"/>
  <c r="K38" i="29"/>
  <c r="K37" i="29"/>
  <c r="K36" i="29"/>
  <c r="K35" i="29"/>
  <c r="K34" i="29"/>
  <c r="K33" i="29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J10" i="29"/>
  <c r="F30" i="10" s="1"/>
  <c r="I10" i="29"/>
  <c r="E30" i="10" s="1"/>
  <c r="H10" i="29"/>
  <c r="D30" i="10" s="1"/>
  <c r="K10" i="29" l="1"/>
  <c r="G30" i="10"/>
  <c r="G29" i="10" s="1"/>
  <c r="E29" i="10"/>
  <c r="F29" i="10"/>
  <c r="D29" i="10"/>
  <c r="H23" i="5" l="1"/>
  <c r="H17" i="5"/>
  <c r="H11" i="5"/>
  <c r="I11" i="5"/>
  <c r="K35" i="9" l="1"/>
  <c r="K35" i="12" l="1"/>
  <c r="H19" i="12"/>
  <c r="J20" i="3" l="1"/>
  <c r="J14" i="19"/>
  <c r="H33" i="11"/>
  <c r="D10" i="10" s="1"/>
  <c r="K11" i="13" l="1"/>
  <c r="H10" i="13"/>
  <c r="D8" i="10" s="1"/>
  <c r="I10" i="13"/>
  <c r="E8" i="10" s="1"/>
  <c r="K107" i="20" l="1"/>
  <c r="K50" i="5"/>
  <c r="K49" i="5"/>
  <c r="K80" i="16"/>
  <c r="K79" i="16"/>
  <c r="K75" i="9"/>
  <c r="K44" i="18"/>
  <c r="K55" i="11"/>
  <c r="K103" i="6"/>
  <c r="K74" i="9"/>
  <c r="K73" i="9"/>
  <c r="K72" i="9"/>
  <c r="K33" i="15"/>
  <c r="K55" i="7"/>
  <c r="K54" i="7"/>
  <c r="K51" i="21"/>
  <c r="K106" i="20"/>
  <c r="K102" i="6"/>
  <c r="K101" i="6"/>
  <c r="H16" i="24"/>
  <c r="K26" i="6"/>
  <c r="K69" i="6"/>
  <c r="K16" i="13" l="1"/>
  <c r="K48" i="26" l="1"/>
  <c r="K47" i="26"/>
  <c r="K46" i="26"/>
  <c r="K45" i="26"/>
  <c r="K44" i="26"/>
  <c r="K43" i="26"/>
  <c r="K42" i="26"/>
  <c r="K41" i="26"/>
  <c r="K40" i="26"/>
  <c r="K39" i="26"/>
  <c r="K38" i="26"/>
  <c r="K37" i="26"/>
  <c r="K36" i="26"/>
  <c r="K35" i="26"/>
  <c r="H33" i="26"/>
  <c r="K33" i="26" s="1"/>
  <c r="K32" i="26"/>
  <c r="K29" i="26"/>
  <c r="K31" i="26"/>
  <c r="K34" i="26"/>
  <c r="J30" i="26"/>
  <c r="K30" i="26" s="1"/>
  <c r="K22" i="26"/>
  <c r="H21" i="26"/>
  <c r="K21" i="26" s="1"/>
  <c r="K23" i="26"/>
  <c r="K24" i="26"/>
  <c r="K25" i="26"/>
  <c r="K26" i="26"/>
  <c r="K27" i="26"/>
  <c r="K28" i="26"/>
  <c r="K20" i="26"/>
  <c r="K17" i="26"/>
  <c r="H12" i="26"/>
  <c r="K12" i="26" s="1"/>
  <c r="K13" i="26"/>
  <c r="K14" i="26"/>
  <c r="K15" i="26"/>
  <c r="K16" i="26"/>
  <c r="K18" i="26"/>
  <c r="K19" i="26"/>
  <c r="K11" i="26"/>
  <c r="I10" i="26" l="1"/>
  <c r="E21" i="10" s="1"/>
  <c r="J10" i="26"/>
  <c r="F21" i="10" s="1"/>
  <c r="H10" i="26"/>
  <c r="D21" i="10" s="1"/>
  <c r="K10" i="26"/>
  <c r="K55" i="25"/>
  <c r="K54" i="25"/>
  <c r="G21" i="10" l="1"/>
  <c r="K53" i="25"/>
  <c r="K52" i="25"/>
  <c r="K51" i="25"/>
  <c r="K50" i="25"/>
  <c r="K49" i="25"/>
  <c r="K48" i="25"/>
  <c r="K47" i="25"/>
  <c r="K43" i="25"/>
  <c r="K44" i="25"/>
  <c r="K45" i="25"/>
  <c r="K46" i="25"/>
  <c r="K42" i="25"/>
  <c r="J39" i="25"/>
  <c r="K39" i="25" s="1"/>
  <c r="J38" i="25"/>
  <c r="K40" i="25"/>
  <c r="K41" i="25"/>
  <c r="K37" i="25"/>
  <c r="K32" i="25"/>
  <c r="K34" i="25"/>
  <c r="K35" i="25"/>
  <c r="K36" i="25"/>
  <c r="H30" i="25"/>
  <c r="K30" i="25" s="1"/>
  <c r="K22" i="25"/>
  <c r="K18" i="25"/>
  <c r="K19" i="25"/>
  <c r="K20" i="25"/>
  <c r="K21" i="25"/>
  <c r="K23" i="25"/>
  <c r="K24" i="25"/>
  <c r="K25" i="25"/>
  <c r="K26" i="25"/>
  <c r="K27" i="25"/>
  <c r="K28" i="25"/>
  <c r="K29" i="25"/>
  <c r="K17" i="25"/>
  <c r="K12" i="25"/>
  <c r="K13" i="25"/>
  <c r="K14" i="25"/>
  <c r="K15" i="25"/>
  <c r="K16" i="25"/>
  <c r="I10" i="25"/>
  <c r="E19" i="10" s="1"/>
  <c r="K38" i="25" l="1"/>
  <c r="K31" i="25"/>
  <c r="H10" i="25"/>
  <c r="D19" i="10" s="1"/>
  <c r="K33" i="25"/>
  <c r="J10" i="25"/>
  <c r="F19" i="10" s="1"/>
  <c r="K11" i="25"/>
  <c r="H53" i="24"/>
  <c r="K53" i="24" s="1"/>
  <c r="K52" i="24"/>
  <c r="K50" i="24"/>
  <c r="K49" i="24"/>
  <c r="K51" i="24"/>
  <c r="K54" i="24"/>
  <c r="K55" i="24"/>
  <c r="K56" i="24"/>
  <c r="K57" i="24"/>
  <c r="H48" i="24"/>
  <c r="K48" i="24" s="1"/>
  <c r="K47" i="24"/>
  <c r="K40" i="24"/>
  <c r="K41" i="24"/>
  <c r="K42" i="24"/>
  <c r="K43" i="24"/>
  <c r="K44" i="24"/>
  <c r="K45" i="24"/>
  <c r="K46" i="24"/>
  <c r="K39" i="24"/>
  <c r="H32" i="24"/>
  <c r="K32" i="24" s="1"/>
  <c r="I32" i="24"/>
  <c r="I10" i="24" s="1"/>
  <c r="E12" i="10" s="1"/>
  <c r="K33" i="24"/>
  <c r="K34" i="24"/>
  <c r="K35" i="24"/>
  <c r="K36" i="24"/>
  <c r="K37" i="24"/>
  <c r="K38" i="24"/>
  <c r="K28" i="24"/>
  <c r="K29" i="24"/>
  <c r="K30" i="24"/>
  <c r="K31" i="24"/>
  <c r="K27" i="24"/>
  <c r="K26" i="24"/>
  <c r="K24" i="24"/>
  <c r="J21" i="24"/>
  <c r="K19" i="24"/>
  <c r="K20" i="24"/>
  <c r="K21" i="24"/>
  <c r="K22" i="24"/>
  <c r="K23" i="24"/>
  <c r="K25" i="24"/>
  <c r="H18" i="24"/>
  <c r="K18" i="24" s="1"/>
  <c r="K13" i="24"/>
  <c r="K12" i="24"/>
  <c r="K14" i="24"/>
  <c r="K15" i="24"/>
  <c r="K16" i="24"/>
  <c r="K17" i="24"/>
  <c r="K11" i="24"/>
  <c r="K32" i="23"/>
  <c r="K31" i="23"/>
  <c r="K30" i="23"/>
  <c r="K29" i="23"/>
  <c r="K28" i="23"/>
  <c r="K27" i="23"/>
  <c r="K26" i="23"/>
  <c r="K25" i="23"/>
  <c r="K24" i="23"/>
  <c r="K23" i="23"/>
  <c r="K22" i="23"/>
  <c r="K21" i="23"/>
  <c r="H16" i="23"/>
  <c r="K16" i="23" s="1"/>
  <c r="H15" i="23"/>
  <c r="K15" i="23" s="1"/>
  <c r="K13" i="23"/>
  <c r="K12" i="23"/>
  <c r="K14" i="23"/>
  <c r="K17" i="23"/>
  <c r="K18" i="23"/>
  <c r="K19" i="23"/>
  <c r="K20" i="23"/>
  <c r="G19" i="10" l="1"/>
  <c r="K10" i="25"/>
  <c r="J10" i="24"/>
  <c r="F12" i="10" s="1"/>
  <c r="H10" i="24"/>
  <c r="D12" i="10" s="1"/>
  <c r="K10" i="24"/>
  <c r="K11" i="23"/>
  <c r="K10" i="23" s="1"/>
  <c r="J10" i="23"/>
  <c r="F14" i="10" s="1"/>
  <c r="I10" i="23"/>
  <c r="E14" i="10" s="1"/>
  <c r="H10" i="23"/>
  <c r="D14" i="10" s="1"/>
  <c r="K82" i="22"/>
  <c r="K81" i="22"/>
  <c r="G14" i="10" l="1"/>
  <c r="G12" i="10"/>
  <c r="K80" i="22"/>
  <c r="K79" i="22"/>
  <c r="K78" i="22"/>
  <c r="K77" i="22"/>
  <c r="H71" i="22"/>
  <c r="K71" i="22" s="1"/>
  <c r="H68" i="22"/>
  <c r="K68" i="22" s="1"/>
  <c r="H67" i="22"/>
  <c r="K67" i="22" s="1"/>
  <c r="K69" i="22"/>
  <c r="K70" i="22"/>
  <c r="K72" i="22"/>
  <c r="K73" i="22"/>
  <c r="K74" i="22"/>
  <c r="K75" i="22"/>
  <c r="K76" i="22"/>
  <c r="H66" i="22"/>
  <c r="K66" i="22" s="1"/>
  <c r="K65" i="22"/>
  <c r="K64" i="22"/>
  <c r="K63" i="22"/>
  <c r="K62" i="22"/>
  <c r="K61" i="22"/>
  <c r="K60" i="22"/>
  <c r="K59" i="22"/>
  <c r="K58" i="22"/>
  <c r="H54" i="22"/>
  <c r="K54" i="22" s="1"/>
  <c r="K52" i="22"/>
  <c r="K53" i="22"/>
  <c r="K55" i="22"/>
  <c r="K56" i="22"/>
  <c r="K57" i="22"/>
  <c r="K51" i="22"/>
  <c r="K49" i="22"/>
  <c r="H47" i="22"/>
  <c r="K47" i="22" s="1"/>
  <c r="K45" i="22"/>
  <c r="K42" i="22"/>
  <c r="K43" i="22"/>
  <c r="K44" i="22"/>
  <c r="K46" i="22"/>
  <c r="K48" i="22"/>
  <c r="K50" i="22"/>
  <c r="K41" i="22"/>
  <c r="K37" i="22"/>
  <c r="H34" i="22"/>
  <c r="K35" i="22"/>
  <c r="K36" i="22"/>
  <c r="K38" i="22"/>
  <c r="K39" i="22"/>
  <c r="K40" i="22"/>
  <c r="K33" i="22"/>
  <c r="K32" i="22"/>
  <c r="K31" i="22"/>
  <c r="K24" i="22"/>
  <c r="K25" i="22"/>
  <c r="K26" i="22"/>
  <c r="K29" i="22"/>
  <c r="K30" i="22"/>
  <c r="K19" i="22"/>
  <c r="K20" i="22"/>
  <c r="K21" i="22"/>
  <c r="K22" i="22"/>
  <c r="K23" i="22"/>
  <c r="K18" i="22"/>
  <c r="K17" i="22"/>
  <c r="K13" i="22"/>
  <c r="K14" i="22"/>
  <c r="K15" i="22"/>
  <c r="K16" i="22"/>
  <c r="K12" i="22"/>
  <c r="K11" i="22"/>
  <c r="I10" i="22"/>
  <c r="E22" i="10" s="1"/>
  <c r="K27" i="22" l="1"/>
  <c r="H10" i="22"/>
  <c r="D22" i="10" s="1"/>
  <c r="K34" i="22"/>
  <c r="K28" i="22"/>
  <c r="J10" i="22"/>
  <c r="F22" i="10" s="1"/>
  <c r="G22" i="10" l="1"/>
  <c r="K10" i="22"/>
  <c r="K50" i="21"/>
  <c r="K49" i="21"/>
  <c r="K48" i="21"/>
  <c r="K47" i="21"/>
  <c r="K46" i="21"/>
  <c r="K45" i="21"/>
  <c r="K44" i="21"/>
  <c r="K43" i="21"/>
  <c r="K42" i="21"/>
  <c r="K41" i="21"/>
  <c r="K40" i="21"/>
  <c r="K39" i="21"/>
  <c r="K38" i="21"/>
  <c r="K37" i="21"/>
  <c r="K33" i="21"/>
  <c r="K34" i="21"/>
  <c r="K35" i="21"/>
  <c r="K36" i="21"/>
  <c r="K32" i="21"/>
  <c r="I32" i="21"/>
  <c r="K31" i="21"/>
  <c r="K30" i="21"/>
  <c r="K29" i="21"/>
  <c r="K28" i="21"/>
  <c r="K27" i="21"/>
  <c r="K26" i="21"/>
  <c r="K25" i="21"/>
  <c r="K24" i="21"/>
  <c r="K23" i="21"/>
  <c r="K22" i="21"/>
  <c r="H16" i="21"/>
  <c r="K16" i="21" s="1"/>
  <c r="K15" i="21"/>
  <c r="H13" i="21"/>
  <c r="K12" i="21"/>
  <c r="K13" i="21"/>
  <c r="K14" i="21"/>
  <c r="K17" i="21"/>
  <c r="K18" i="21"/>
  <c r="K19" i="21"/>
  <c r="K20" i="21"/>
  <c r="K21" i="21"/>
  <c r="K11" i="21" l="1"/>
  <c r="K10" i="21" s="1"/>
  <c r="J10" i="21"/>
  <c r="F13" i="10" s="1"/>
  <c r="I10" i="21"/>
  <c r="E13" i="10" s="1"/>
  <c r="H10" i="21"/>
  <c r="D13" i="10" s="1"/>
  <c r="K105" i="20"/>
  <c r="K104" i="20"/>
  <c r="G13" i="10" l="1"/>
  <c r="K103" i="20"/>
  <c r="K102" i="20"/>
  <c r="K101" i="20"/>
  <c r="K100" i="20"/>
  <c r="K99" i="20"/>
  <c r="K98" i="20"/>
  <c r="K97" i="20"/>
  <c r="K96" i="20"/>
  <c r="K95" i="20"/>
  <c r="K94" i="20"/>
  <c r="K93" i="20"/>
  <c r="K92" i="20"/>
  <c r="K91" i="20"/>
  <c r="K90" i="20"/>
  <c r="K89" i="20"/>
  <c r="K88" i="20"/>
  <c r="K87" i="20"/>
  <c r="K84" i="20"/>
  <c r="K79" i="20"/>
  <c r="K80" i="20"/>
  <c r="K81" i="20"/>
  <c r="K82" i="20"/>
  <c r="K83" i="20"/>
  <c r="K85" i="20"/>
  <c r="K86" i="20"/>
  <c r="K78" i="20"/>
  <c r="K77" i="20"/>
  <c r="K76" i="20"/>
  <c r="K74" i="20"/>
  <c r="K73" i="20"/>
  <c r="K71" i="20"/>
  <c r="K67" i="20"/>
  <c r="K65" i="20"/>
  <c r="K66" i="20"/>
  <c r="K69" i="20"/>
  <c r="K70" i="20"/>
  <c r="K72" i="20"/>
  <c r="K75" i="20"/>
  <c r="K63" i="20"/>
  <c r="I59" i="20"/>
  <c r="H59" i="20"/>
  <c r="K59" i="20" s="1"/>
  <c r="K58" i="20"/>
  <c r="K57" i="20"/>
  <c r="K60" i="20"/>
  <c r="K62" i="20"/>
  <c r="K56" i="20"/>
  <c r="K55" i="20"/>
  <c r="K54" i="20"/>
  <c r="K53" i="20"/>
  <c r="K52" i="20"/>
  <c r="K51" i="20"/>
  <c r="K31" i="20"/>
  <c r="K32" i="20"/>
  <c r="K33" i="20"/>
  <c r="K34" i="20"/>
  <c r="K35" i="20"/>
  <c r="K36" i="20"/>
  <c r="K38" i="20"/>
  <c r="K39" i="20"/>
  <c r="K40" i="20"/>
  <c r="K41" i="20"/>
  <c r="K42" i="20"/>
  <c r="K43" i="20"/>
  <c r="K44" i="20"/>
  <c r="K45" i="20"/>
  <c r="K46" i="20"/>
  <c r="K47" i="20"/>
  <c r="K48" i="20"/>
  <c r="K49" i="20"/>
  <c r="K50" i="20"/>
  <c r="K29" i="20"/>
  <c r="K28" i="20"/>
  <c r="K27" i="20"/>
  <c r="K26" i="20"/>
  <c r="K25" i="20"/>
  <c r="K24" i="20"/>
  <c r="H21" i="20"/>
  <c r="K21" i="20" s="1"/>
  <c r="K11" i="20"/>
  <c r="K12" i="20"/>
  <c r="K13" i="20"/>
  <c r="K16" i="20"/>
  <c r="K17" i="20"/>
  <c r="K18" i="20"/>
  <c r="K19" i="20"/>
  <c r="K20" i="20"/>
  <c r="K22" i="20"/>
  <c r="K23" i="20"/>
  <c r="J100" i="6"/>
  <c r="K31" i="19"/>
  <c r="K30" i="19"/>
  <c r="K29" i="19"/>
  <c r="K28" i="19"/>
  <c r="K27" i="19"/>
  <c r="K21" i="19"/>
  <c r="K22" i="19"/>
  <c r="K23" i="19"/>
  <c r="K24" i="19"/>
  <c r="K25" i="19"/>
  <c r="K26" i="19"/>
  <c r="K20" i="19"/>
  <c r="I11" i="19"/>
  <c r="K30" i="20" l="1"/>
  <c r="K68" i="20"/>
  <c r="H10" i="20"/>
  <c r="D11" i="10" s="1"/>
  <c r="K64" i="20"/>
  <c r="K14" i="20"/>
  <c r="I10" i="20"/>
  <c r="E11" i="10" s="1"/>
  <c r="J10" i="20"/>
  <c r="F11" i="10" s="1"/>
  <c r="K12" i="19"/>
  <c r="K13" i="19"/>
  <c r="K14" i="19"/>
  <c r="K15" i="19"/>
  <c r="K16" i="19"/>
  <c r="K17" i="19"/>
  <c r="K18" i="19"/>
  <c r="K19" i="19"/>
  <c r="K11" i="19"/>
  <c r="J10" i="19"/>
  <c r="F15" i="10" s="1"/>
  <c r="I10" i="19"/>
  <c r="E15" i="10" s="1"/>
  <c r="H10" i="19"/>
  <c r="D15" i="10" s="1"/>
  <c r="K43" i="18"/>
  <c r="K42" i="18"/>
  <c r="K41" i="18"/>
  <c r="K40" i="18"/>
  <c r="K39" i="18"/>
  <c r="K31" i="18"/>
  <c r="K30" i="18"/>
  <c r="K32" i="18"/>
  <c r="K33" i="18"/>
  <c r="K34" i="18"/>
  <c r="K35" i="18"/>
  <c r="K36" i="18"/>
  <c r="K37" i="18"/>
  <c r="K38" i="18"/>
  <c r="J11" i="18"/>
  <c r="J29" i="18"/>
  <c r="K29" i="18" s="1"/>
  <c r="K27" i="18"/>
  <c r="K28" i="18"/>
  <c r="H26" i="18"/>
  <c r="K26" i="18" s="1"/>
  <c r="K25" i="18"/>
  <c r="K24" i="18"/>
  <c r="K23" i="18"/>
  <c r="K22" i="18"/>
  <c r="K21" i="18"/>
  <c r="K20" i="18"/>
  <c r="K19" i="18"/>
  <c r="K18" i="18"/>
  <c r="H13" i="18"/>
  <c r="K13" i="18" s="1"/>
  <c r="K12" i="18"/>
  <c r="K14" i="18"/>
  <c r="K16" i="18"/>
  <c r="K17" i="18"/>
  <c r="H11" i="18"/>
  <c r="I10" i="18"/>
  <c r="E24" i="10" s="1"/>
  <c r="K10" i="20" l="1"/>
  <c r="G15" i="10"/>
  <c r="G11" i="10"/>
  <c r="H10" i="18"/>
  <c r="D24" i="10" s="1"/>
  <c r="J10" i="18"/>
  <c r="F24" i="10" s="1"/>
  <c r="K11" i="18"/>
  <c r="K10" i="19"/>
  <c r="K15" i="18"/>
  <c r="K57" i="17"/>
  <c r="K56" i="17"/>
  <c r="K55" i="17"/>
  <c r="K54" i="17"/>
  <c r="K53" i="17"/>
  <c r="K52" i="17"/>
  <c r="K51" i="17"/>
  <c r="J24" i="17"/>
  <c r="K24" i="17" s="1"/>
  <c r="K13" i="17"/>
  <c r="K16" i="17"/>
  <c r="K15" i="17"/>
  <c r="K30" i="17"/>
  <c r="K25" i="17"/>
  <c r="K50" i="17"/>
  <c r="K49" i="17"/>
  <c r="J20" i="17"/>
  <c r="J19" i="17"/>
  <c r="J18" i="17"/>
  <c r="K47" i="17"/>
  <c r="K48" i="17"/>
  <c r="K46" i="17"/>
  <c r="H45" i="17"/>
  <c r="K45" i="17" s="1"/>
  <c r="K43" i="17"/>
  <c r="K44" i="17"/>
  <c r="K42" i="17"/>
  <c r="K38" i="17"/>
  <c r="K35" i="17"/>
  <c r="H36" i="17"/>
  <c r="K36" i="17" s="1"/>
  <c r="K37" i="17"/>
  <c r="K39" i="17"/>
  <c r="K40" i="17"/>
  <c r="K41" i="17"/>
  <c r="H34" i="17"/>
  <c r="K34" i="17" s="1"/>
  <c r="K33" i="17"/>
  <c r="K32" i="17"/>
  <c r="H31" i="17"/>
  <c r="K31" i="17" s="1"/>
  <c r="G24" i="10" l="1"/>
  <c r="K10" i="18"/>
  <c r="K28" i="17"/>
  <c r="K27" i="17"/>
  <c r="K29" i="17"/>
  <c r="H26" i="17"/>
  <c r="K26" i="17" s="1"/>
  <c r="K23" i="17"/>
  <c r="K22" i="17"/>
  <c r="K21" i="17"/>
  <c r="K20" i="17"/>
  <c r="H18" i="17"/>
  <c r="K18" i="17" s="1"/>
  <c r="H17" i="17"/>
  <c r="K17" i="17" s="1"/>
  <c r="H12" i="17"/>
  <c r="K12" i="17" s="1"/>
  <c r="K14" i="17"/>
  <c r="K19" i="17"/>
  <c r="K11" i="17"/>
  <c r="I10" i="17"/>
  <c r="E20" i="10" s="1"/>
  <c r="J10" i="17" l="1"/>
  <c r="F20" i="10" s="1"/>
  <c r="H10" i="17"/>
  <c r="D20" i="10" s="1"/>
  <c r="K10" i="17"/>
  <c r="K78" i="16"/>
  <c r="K77" i="16"/>
  <c r="K76" i="16"/>
  <c r="K75" i="16"/>
  <c r="K74" i="16"/>
  <c r="K73" i="16"/>
  <c r="K72" i="16"/>
  <c r="K71" i="16"/>
  <c r="G20" i="10" l="1"/>
  <c r="K70" i="16"/>
  <c r="K69" i="16"/>
  <c r="K68" i="16"/>
  <c r="K67" i="16"/>
  <c r="K66" i="16"/>
  <c r="K65" i="16"/>
  <c r="K64" i="16"/>
  <c r="K63" i="16" l="1"/>
  <c r="K62" i="16"/>
  <c r="K59" i="16"/>
  <c r="K60" i="16"/>
  <c r="K61" i="16"/>
  <c r="K58" i="16"/>
  <c r="K57" i="16"/>
  <c r="K56" i="16"/>
  <c r="K55" i="16"/>
  <c r="K54" i="16"/>
  <c r="K53" i="16"/>
  <c r="K52" i="16"/>
  <c r="K51" i="16"/>
  <c r="K50" i="16"/>
  <c r="K49" i="16"/>
  <c r="K48" i="16"/>
  <c r="K47" i="16"/>
  <c r="K46" i="16"/>
  <c r="K45" i="16"/>
  <c r="K44" i="16"/>
  <c r="K43" i="16"/>
  <c r="K42" i="16"/>
  <c r="K40" i="16"/>
  <c r="K41" i="16"/>
  <c r="K39" i="16"/>
  <c r="K38" i="16"/>
  <c r="K37" i="16"/>
  <c r="K36" i="16"/>
  <c r="K35" i="16"/>
  <c r="K34" i="16"/>
  <c r="K33" i="16"/>
  <c r="K32" i="16"/>
  <c r="K31" i="16"/>
  <c r="K30" i="16"/>
  <c r="K29" i="16"/>
  <c r="K25" i="16"/>
  <c r="K26" i="16"/>
  <c r="K27" i="16"/>
  <c r="K28" i="16"/>
  <c r="K21" i="16"/>
  <c r="K22" i="16"/>
  <c r="K23" i="16"/>
  <c r="K24" i="16"/>
  <c r="H14" i="16"/>
  <c r="K14" i="16" s="1"/>
  <c r="K15" i="16"/>
  <c r="K16" i="16"/>
  <c r="K17" i="16"/>
  <c r="K18" i="16"/>
  <c r="K19" i="16"/>
  <c r="K20" i="16"/>
  <c r="K12" i="16"/>
  <c r="K13" i="16"/>
  <c r="K11" i="16"/>
  <c r="J10" i="16"/>
  <c r="F23" i="10" s="1"/>
  <c r="I10" i="16"/>
  <c r="E23" i="10" s="1"/>
  <c r="K29" i="15"/>
  <c r="H10" i="16" l="1"/>
  <c r="D23" i="10" s="1"/>
  <c r="G23" i="10" s="1"/>
  <c r="K10" i="16"/>
  <c r="H14" i="15"/>
  <c r="H13" i="15"/>
  <c r="K17" i="15"/>
  <c r="K36" i="14" l="1"/>
  <c r="K37" i="14"/>
  <c r="H17" i="14"/>
  <c r="H12" i="14"/>
  <c r="H11" i="14"/>
  <c r="K54" i="13"/>
  <c r="J30" i="13" l="1"/>
  <c r="J10" i="13" s="1"/>
  <c r="F8" i="10" s="1"/>
  <c r="K23" i="13"/>
  <c r="G8" i="10" l="1"/>
  <c r="K23" i="15"/>
  <c r="K24" i="15"/>
  <c r="K25" i="15"/>
  <c r="K26" i="15"/>
  <c r="K27" i="15"/>
  <c r="K28" i="15"/>
  <c r="K30" i="15"/>
  <c r="K31" i="15"/>
  <c r="K32" i="15"/>
  <c r="K22" i="15"/>
  <c r="K21" i="15"/>
  <c r="K13" i="15"/>
  <c r="K12" i="15"/>
  <c r="K14" i="15"/>
  <c r="K15" i="15"/>
  <c r="K16" i="15"/>
  <c r="K18" i="15"/>
  <c r="K19" i="15"/>
  <c r="K20" i="15"/>
  <c r="K11" i="15"/>
  <c r="K10" i="15" l="1"/>
  <c r="J10" i="15"/>
  <c r="F25" i="10" s="1"/>
  <c r="I10" i="15"/>
  <c r="E25" i="10" s="1"/>
  <c r="H10" i="15"/>
  <c r="D25" i="10" s="1"/>
  <c r="K46" i="14"/>
  <c r="K45" i="14"/>
  <c r="K44" i="14"/>
  <c r="K43" i="14"/>
  <c r="K42" i="14"/>
  <c r="K41" i="14"/>
  <c r="K38" i="14"/>
  <c r="K39" i="14"/>
  <c r="K40" i="14"/>
  <c r="K35" i="14"/>
  <c r="G25" i="10" l="1"/>
  <c r="K34" i="14"/>
  <c r="K33" i="14"/>
  <c r="K32" i="14"/>
  <c r="K30" i="14"/>
  <c r="K22" i="14"/>
  <c r="K23" i="14"/>
  <c r="K24" i="14"/>
  <c r="K25" i="14"/>
  <c r="K26" i="14"/>
  <c r="K27" i="14"/>
  <c r="K28" i="14"/>
  <c r="K29" i="14"/>
  <c r="K21" i="14"/>
  <c r="K17" i="14"/>
  <c r="K16" i="14"/>
  <c r="K12" i="14"/>
  <c r="K13" i="14"/>
  <c r="K14" i="14"/>
  <c r="K15" i="14"/>
  <c r="K18" i="14"/>
  <c r="K19" i="14"/>
  <c r="K20" i="14"/>
  <c r="K11" i="14"/>
  <c r="I10" i="14"/>
  <c r="E27" i="10" s="1"/>
  <c r="K10" i="14" l="1"/>
  <c r="J10" i="14"/>
  <c r="F27" i="10" s="1"/>
  <c r="H10" i="14"/>
  <c r="D27" i="10" s="1"/>
  <c r="K53" i="13"/>
  <c r="G27" i="10" l="1"/>
  <c r="K52" i="13"/>
  <c r="K51" i="13"/>
  <c r="K50" i="13"/>
  <c r="K49" i="13"/>
  <c r="K48" i="13" l="1"/>
  <c r="K47" i="13"/>
  <c r="K46" i="13"/>
  <c r="K45" i="13"/>
  <c r="K44" i="13"/>
  <c r="K43" i="13"/>
  <c r="K42" i="13"/>
  <c r="K41" i="13"/>
  <c r="K40" i="13"/>
  <c r="K39" i="13"/>
  <c r="K38" i="13" l="1"/>
  <c r="K37" i="13"/>
  <c r="K36" i="13"/>
  <c r="K35" i="13"/>
  <c r="K34" i="13"/>
  <c r="K33" i="13"/>
  <c r="K24" i="13"/>
  <c r="K25" i="13"/>
  <c r="K26" i="13"/>
  <c r="K27" i="13"/>
  <c r="K28" i="13"/>
  <c r="K29" i="13"/>
  <c r="K30" i="13"/>
  <c r="K31" i="13"/>
  <c r="K32" i="13"/>
  <c r="K22" i="13"/>
  <c r="K21" i="13"/>
  <c r="K20" i="13"/>
  <c r="K19" i="13"/>
  <c r="K12" i="13" l="1"/>
  <c r="K13" i="13"/>
  <c r="K14" i="13"/>
  <c r="K15" i="13"/>
  <c r="K17" i="13"/>
  <c r="K18" i="13"/>
  <c r="K34" i="12"/>
  <c r="K33" i="12"/>
  <c r="K32" i="12"/>
  <c r="K31" i="12"/>
  <c r="K10" i="13" l="1"/>
  <c r="K30" i="12"/>
  <c r="K29" i="12" l="1"/>
  <c r="K28" i="12"/>
  <c r="K27" i="12"/>
  <c r="K25" i="12"/>
  <c r="K24" i="12"/>
  <c r="K23" i="12"/>
  <c r="K22" i="12"/>
  <c r="K21" i="12"/>
  <c r="K19" i="12"/>
  <c r="K18" i="12"/>
  <c r="K17" i="12"/>
  <c r="K12" i="12"/>
  <c r="K14" i="12"/>
  <c r="K15" i="12"/>
  <c r="K16" i="12"/>
  <c r="K11" i="12"/>
  <c r="J10" i="12"/>
  <c r="F18" i="10" s="1"/>
  <c r="I10" i="12"/>
  <c r="E18" i="10" s="1"/>
  <c r="H10" i="12"/>
  <c r="D18" i="10" s="1"/>
  <c r="K54" i="11"/>
  <c r="K53" i="11"/>
  <c r="K52" i="11"/>
  <c r="K51" i="11"/>
  <c r="K50" i="11"/>
  <c r="K49" i="11"/>
  <c r="K10" i="12" l="1"/>
  <c r="G18" i="10"/>
  <c r="K48" i="11"/>
  <c r="K47" i="11"/>
  <c r="K46" i="11" l="1"/>
  <c r="K45" i="11"/>
  <c r="K44" i="11"/>
  <c r="K43" i="11"/>
  <c r="K42" i="11"/>
  <c r="K40" i="11"/>
  <c r="K39" i="11"/>
  <c r="K38" i="11"/>
  <c r="K37" i="11"/>
  <c r="K36" i="11"/>
  <c r="K35" i="11"/>
  <c r="K34" i="11"/>
  <c r="K33" i="11"/>
  <c r="K32" i="11"/>
  <c r="K31" i="11"/>
  <c r="K28" i="11"/>
  <c r="K30" i="11"/>
  <c r="K29" i="11"/>
  <c r="K27" i="11"/>
  <c r="K26" i="11"/>
  <c r="K25" i="11"/>
  <c r="K24" i="11"/>
  <c r="K23" i="11"/>
  <c r="K22" i="11"/>
  <c r="K21" i="11"/>
  <c r="K20" i="11"/>
  <c r="K11" i="11"/>
  <c r="K12" i="11"/>
  <c r="K13" i="11"/>
  <c r="K14" i="11"/>
  <c r="K15" i="11"/>
  <c r="K16" i="11"/>
  <c r="K17" i="11"/>
  <c r="K18" i="11"/>
  <c r="K19" i="11"/>
  <c r="K9" i="11" l="1"/>
  <c r="G10" i="10"/>
  <c r="K71" i="9"/>
  <c r="K70" i="9" l="1"/>
  <c r="K69" i="9" l="1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 l="1"/>
  <c r="K19" i="9"/>
  <c r="K18" i="9"/>
  <c r="K17" i="9"/>
  <c r="K16" i="9"/>
  <c r="K15" i="9"/>
  <c r="K12" i="9"/>
  <c r="K13" i="9"/>
  <c r="K14" i="9"/>
  <c r="K11" i="9"/>
  <c r="J10" i="9"/>
  <c r="F26" i="10" s="1"/>
  <c r="I10" i="9"/>
  <c r="E26" i="10" s="1"/>
  <c r="H10" i="9"/>
  <c r="D26" i="10" s="1"/>
  <c r="K53" i="7"/>
  <c r="G26" i="10" l="1"/>
  <c r="K10" i="9"/>
  <c r="K52" i="7"/>
  <c r="K51" i="7"/>
  <c r="K13" i="7"/>
  <c r="K50" i="7"/>
  <c r="K49" i="7"/>
  <c r="K48" i="7"/>
  <c r="K47" i="7"/>
  <c r="K46" i="7"/>
  <c r="K45" i="7"/>
  <c r="K44" i="7"/>
  <c r="K43" i="7"/>
  <c r="K39" i="7"/>
  <c r="K40" i="7"/>
  <c r="K41" i="7"/>
  <c r="K42" i="7"/>
  <c r="K38" i="7"/>
  <c r="K37" i="7"/>
  <c r="K36" i="7"/>
  <c r="K35" i="7"/>
  <c r="K34" i="7"/>
  <c r="K33" i="7"/>
  <c r="K32" i="7"/>
  <c r="K30" i="7"/>
  <c r="K31" i="7"/>
  <c r="K27" i="7"/>
  <c r="K26" i="7"/>
  <c r="K19" i="7"/>
  <c r="K20" i="7"/>
  <c r="K21" i="7"/>
  <c r="K22" i="7"/>
  <c r="K23" i="7"/>
  <c r="K25" i="7"/>
  <c r="K28" i="7"/>
  <c r="K29" i="7"/>
  <c r="K16" i="7"/>
  <c r="K17" i="7"/>
  <c r="K18" i="7"/>
  <c r="K14" i="7"/>
  <c r="K11" i="7"/>
  <c r="K12" i="7"/>
  <c r="K24" i="7" l="1"/>
  <c r="K15" i="7"/>
  <c r="J10" i="7"/>
  <c r="F17" i="10" s="1"/>
  <c r="I10" i="7"/>
  <c r="E17" i="10" s="1"/>
  <c r="H10" i="7"/>
  <c r="D17" i="10" s="1"/>
  <c r="K98" i="6"/>
  <c r="K99" i="6"/>
  <c r="K100" i="6"/>
  <c r="J97" i="6"/>
  <c r="K97" i="6" s="1"/>
  <c r="J96" i="6"/>
  <c r="K96" i="6" s="1"/>
  <c r="E9" i="10"/>
  <c r="K14" i="6"/>
  <c r="K25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5" i="6"/>
  <c r="K76" i="6"/>
  <c r="K74" i="6"/>
  <c r="K73" i="6"/>
  <c r="K72" i="6"/>
  <c r="K71" i="6"/>
  <c r="K70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4" i="6"/>
  <c r="K23" i="6"/>
  <c r="K22" i="6"/>
  <c r="K20" i="6"/>
  <c r="K19" i="6"/>
  <c r="K18" i="6"/>
  <c r="K13" i="6"/>
  <c r="K15" i="6"/>
  <c r="K16" i="6"/>
  <c r="K17" i="6"/>
  <c r="K21" i="6" l="1"/>
  <c r="K10" i="6" s="1"/>
  <c r="J10" i="6"/>
  <c r="F9" i="10" s="1"/>
  <c r="K10" i="7"/>
  <c r="G17" i="10"/>
  <c r="D9" i="10"/>
  <c r="K48" i="5"/>
  <c r="G9" i="10" l="1"/>
  <c r="K41" i="5"/>
  <c r="K42" i="5"/>
  <c r="K43" i="5"/>
  <c r="K44" i="5"/>
  <c r="K45" i="5"/>
  <c r="K46" i="5"/>
  <c r="K47" i="5"/>
  <c r="K35" i="5"/>
  <c r="K36" i="5"/>
  <c r="K37" i="5"/>
  <c r="K38" i="5"/>
  <c r="K39" i="5"/>
  <c r="K40" i="5"/>
  <c r="K34" i="5"/>
  <c r="K33" i="5"/>
  <c r="K32" i="5"/>
  <c r="K28" i="5"/>
  <c r="K29" i="5"/>
  <c r="K30" i="5"/>
  <c r="K31" i="5"/>
  <c r="I10" i="5"/>
  <c r="E28" i="10" s="1"/>
  <c r="K26" i="5"/>
  <c r="K21" i="5"/>
  <c r="K20" i="5"/>
  <c r="K22" i="5"/>
  <c r="K23" i="5"/>
  <c r="K24" i="5"/>
  <c r="K25" i="5"/>
  <c r="H19" i="5"/>
  <c r="K19" i="5" s="1"/>
  <c r="K16" i="5"/>
  <c r="K17" i="5"/>
  <c r="K18" i="5"/>
  <c r="H15" i="5"/>
  <c r="K15" i="5" s="1"/>
  <c r="K14" i="5"/>
  <c r="K12" i="5"/>
  <c r="J10" i="5" l="1"/>
  <c r="F28" i="10" s="1"/>
  <c r="K27" i="5"/>
  <c r="H10" i="5"/>
  <c r="D28" i="10" s="1"/>
  <c r="K11" i="5"/>
  <c r="H10" i="3"/>
  <c r="D16" i="10" s="1"/>
  <c r="I10" i="3"/>
  <c r="E16" i="10" s="1"/>
  <c r="E6" i="10" s="1"/>
  <c r="K79" i="3"/>
  <c r="K72" i="3"/>
  <c r="K73" i="3"/>
  <c r="K74" i="3"/>
  <c r="K75" i="3"/>
  <c r="K76" i="3"/>
  <c r="K77" i="3"/>
  <c r="K78" i="3"/>
  <c r="J16" i="3"/>
  <c r="K70" i="3"/>
  <c r="K71" i="3"/>
  <c r="K65" i="3"/>
  <c r="K66" i="3"/>
  <c r="K67" i="3"/>
  <c r="K68" i="3"/>
  <c r="K69" i="3"/>
  <c r="J64" i="3"/>
  <c r="K64" i="3" s="1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J42" i="3"/>
  <c r="D6" i="10" l="1"/>
  <c r="D5" i="10" s="1"/>
  <c r="E5" i="10"/>
  <c r="G28" i="10"/>
  <c r="K10" i="5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J21" i="3"/>
  <c r="K21" i="3" s="1"/>
  <c r="K19" i="3"/>
  <c r="K17" i="3"/>
  <c r="K16" i="3"/>
  <c r="K13" i="3"/>
  <c r="K18" i="3"/>
  <c r="K20" i="3"/>
  <c r="K22" i="3"/>
  <c r="K23" i="3"/>
  <c r="K24" i="3"/>
  <c r="K25" i="3"/>
  <c r="K26" i="3"/>
  <c r="K27" i="3"/>
  <c r="K12" i="3"/>
  <c r="K14" i="3"/>
  <c r="K15" i="3"/>
  <c r="J10" i="3" l="1"/>
  <c r="F16" i="10" s="1"/>
  <c r="F6" i="10" s="1"/>
  <c r="F5" i="10" s="1"/>
  <c r="K11" i="3"/>
  <c r="K10" i="3" s="1"/>
  <c r="G16" i="10" l="1"/>
  <c r="G6" i="10" s="1"/>
  <c r="G5" i="10" l="1"/>
</calcChain>
</file>

<file path=xl/sharedStrings.xml><?xml version="1.0" encoding="utf-8"?>
<sst xmlns="http://schemas.openxmlformats.org/spreadsheetml/2006/main" count="8448" uniqueCount="3346">
  <si>
    <t>Идентификационный номер</t>
  </si>
  <si>
    <t>Наименование автомобильной дороги</t>
  </si>
  <si>
    <t>Итого</t>
  </si>
  <si>
    <t>Твердое покрытие, км</t>
  </si>
  <si>
    <t>Грунтовая дорога, км</t>
  </si>
  <si>
    <t>Общая протяженность дорог - всего, км</t>
  </si>
  <si>
    <t>Наименование муниципального образования (городского/сельского поселения)</t>
  </si>
  <si>
    <r>
      <rPr>
        <b/>
        <sz val="12"/>
        <color indexed="8"/>
        <rFont val="Calibri"/>
        <family val="2"/>
        <charset val="204"/>
      </rPr>
      <t>Элемент улично-дорожной сети</t>
    </r>
    <r>
      <rPr>
        <sz val="11"/>
        <color theme="1"/>
        <rFont val="Calibri"/>
        <family val="2"/>
        <scheme val="minor"/>
      </rPr>
      <t xml:space="preserve"> определяется согласно приказу Минфина России от 05.11.2015 № 171н, указывается </t>
    </r>
    <r>
      <rPr>
        <b/>
        <sz val="11"/>
        <color indexed="8"/>
        <rFont val="Calibri"/>
        <family val="2"/>
        <charset val="204"/>
      </rPr>
      <t>полностью</t>
    </r>
    <r>
      <rPr>
        <sz val="11"/>
        <color theme="1"/>
        <rFont val="Calibri"/>
        <family val="2"/>
        <scheme val="minor"/>
      </rPr>
      <t xml:space="preserve"> (без сокращений)</t>
    </r>
  </si>
  <si>
    <r>
      <t xml:space="preserve">Автомобильными дорогами общего пользования местного значения городского и сельского поселений являются автомобильные дороги общего пользования в границах населенных пунктов поселения, </t>
    </r>
    <r>
      <rPr>
        <b/>
        <sz val="12"/>
        <color indexed="8"/>
        <rFont val="Calibri"/>
        <family val="2"/>
        <charset val="204"/>
      </rPr>
      <t>за исключением автомобильных дорог общего пользования федерального, регионального или межмуниципального значения, частных автомобильных дорог</t>
    </r>
    <r>
      <rPr>
        <b/>
        <sz val="11"/>
        <color indexed="8"/>
        <rFont val="Calibri"/>
        <family val="2"/>
        <charset val="204"/>
      </rPr>
      <t>.</t>
    </r>
  </si>
  <si>
    <r>
      <t xml:space="preserve">Автомобильными дорогами общего пользования местного значения муниципального района являются автомобильные дороги общего пользования в границах муниципального района, </t>
    </r>
    <r>
      <rPr>
        <b/>
        <sz val="12"/>
        <color indexed="8"/>
        <rFont val="Calibri"/>
        <family val="2"/>
        <charset val="204"/>
      </rPr>
      <t>за исключением автомобильных дорог общего пользования федерального, регионального или межмуниципального значения, автомобильных дорог общего пользования местного значения поселений, частных автомобильных дорог.</t>
    </r>
  </si>
  <si>
    <r>
      <t xml:space="preserve">Утверждение перечней автомобильных дорог общего и необщего пользования местного значения </t>
    </r>
    <r>
      <rPr>
        <b/>
        <sz val="12"/>
        <color indexed="8"/>
        <rFont val="Calibri"/>
        <family val="2"/>
        <charset val="204"/>
      </rPr>
      <t>входит в полномочия органов местного самоуправления (п. 5 ст. 13 Федерального закона N 257-ФЗ)</t>
    </r>
    <r>
      <rPr>
        <b/>
        <sz val="11"/>
        <color indexed="8"/>
        <rFont val="Calibri"/>
        <family val="2"/>
        <charset val="204"/>
      </rPr>
      <t>.</t>
    </r>
  </si>
  <si>
    <r>
      <rPr>
        <b/>
        <sz val="12"/>
        <color indexed="8"/>
        <rFont val="Calibri"/>
        <family val="2"/>
        <charset val="204"/>
      </rPr>
      <t>Общая протяженность автомобильных дорог</t>
    </r>
    <r>
      <rPr>
        <sz val="11"/>
        <color theme="1"/>
        <rFont val="Calibri"/>
        <family val="2"/>
        <scheme val="minor"/>
      </rPr>
      <t xml:space="preserve"> - протяженность автомобильных дорог с твердым покрытием и грунтовых дорог.</t>
    </r>
  </si>
  <si>
    <r>
      <rPr>
        <b/>
        <sz val="12"/>
        <color indexed="8"/>
        <rFont val="Calibri"/>
        <family val="2"/>
        <charset val="204"/>
      </rPr>
      <t>Грунтовая дорога</t>
    </r>
    <r>
      <rPr>
        <sz val="11"/>
        <color theme="1"/>
        <rFont val="Calibri"/>
        <family val="2"/>
        <scheme val="minor"/>
      </rPr>
      <t xml:space="preserve"> - автомобильная дорога, не имеющая твердого покрытия.</t>
    </r>
  </si>
  <si>
    <t>Элемент улично-дорожной сети (улица, переулок, тупик, аллея и т.д.)</t>
  </si>
  <si>
    <t>Категория дороги         (I-V)</t>
  </si>
  <si>
    <t>№ п/п</t>
  </si>
  <si>
    <t>Протяженность по типу покрытия (км)</t>
  </si>
  <si>
    <r>
      <t xml:space="preserve">Автомобильными дорогами общего пользования местного значения </t>
    </r>
    <r>
      <rPr>
        <b/>
        <sz val="11"/>
        <color indexed="8"/>
        <rFont val="Calibri"/>
        <family val="2"/>
        <charset val="204"/>
      </rPr>
      <t>городского округа</t>
    </r>
    <r>
      <rPr>
        <sz val="11"/>
        <color theme="1"/>
        <rFont val="Calibri"/>
        <family val="2"/>
        <scheme val="minor"/>
      </rPr>
      <t xml:space="preserve"> являются автомобильные дороги общего пользования в границах городского округа, за исключением автомобильных дорог общего пользования федерального, регионального или межмуниципального значения, частных автомобильных дорог.</t>
    </r>
  </si>
  <si>
    <r>
      <t xml:space="preserve">По </t>
    </r>
    <r>
      <rPr>
        <b/>
        <sz val="12"/>
        <color indexed="8"/>
        <rFont val="Calibri"/>
        <family val="2"/>
        <charset val="204"/>
      </rPr>
      <t>сельским территориям</t>
    </r>
    <r>
      <rPr>
        <b/>
        <sz val="11"/>
        <color indexed="8"/>
        <rFont val="Calibri"/>
        <family val="2"/>
        <charset val="204"/>
      </rPr>
      <t xml:space="preserve"> </t>
    </r>
    <r>
      <rPr>
        <sz val="11"/>
        <color indexed="8"/>
        <rFont val="Calibri"/>
        <family val="2"/>
        <charset val="204"/>
      </rPr>
      <t xml:space="preserve">(Распоряжение Правительства РФ от 30.11.2010 N 2136-р "Об утверждении Концепции устойчивого развития сельских территорий Российской Федерации на период до 2020 года") необходимо указывать протяженность автомобильных дорог общего пользования местного значения, </t>
    </r>
    <r>
      <rPr>
        <b/>
        <sz val="11"/>
        <color indexed="8"/>
        <rFont val="Calibri"/>
        <family val="2"/>
        <charset val="204"/>
      </rPr>
      <t xml:space="preserve">в том числе межпоселковые автомобильные дороги </t>
    </r>
    <r>
      <rPr>
        <sz val="11"/>
        <color indexed="8"/>
        <rFont val="Calibri"/>
        <family val="2"/>
        <charset val="204"/>
      </rPr>
      <t>(согласно Приказу Росстата от 31.08.2017 N 564).</t>
    </r>
  </si>
  <si>
    <r>
      <rPr>
        <b/>
        <sz val="12"/>
        <color indexed="8"/>
        <rFont val="Calibri"/>
        <family val="2"/>
        <charset val="204"/>
      </rPr>
      <t xml:space="preserve">Твердое покрытие - </t>
    </r>
    <r>
      <rPr>
        <sz val="12"/>
        <color indexed="8"/>
        <rFont val="Calibri"/>
        <family val="2"/>
        <charset val="204"/>
      </rPr>
      <t>покрытие</t>
    </r>
    <r>
      <rPr>
        <sz val="11"/>
        <color indexed="8"/>
        <rFont val="Calibri"/>
        <family val="2"/>
        <charset val="204"/>
      </rPr>
      <t>,</t>
    </r>
    <r>
      <rPr>
        <sz val="11"/>
        <color theme="1"/>
        <rFont val="Calibri"/>
        <family val="2"/>
        <scheme val="minor"/>
      </rPr>
      <t xml:space="preserve"> к которому относится </t>
    </r>
    <r>
      <rPr>
        <u/>
        <sz val="11"/>
        <color indexed="8"/>
        <rFont val="Calibri"/>
        <family val="2"/>
        <charset val="204"/>
      </rPr>
      <t>усовершенствованное покрытие</t>
    </r>
    <r>
      <rPr>
        <sz val="11"/>
        <color theme="1"/>
        <rFont val="Calibri"/>
        <family val="2"/>
        <scheme val="minor"/>
      </rPr>
      <t xml:space="preserve"> и </t>
    </r>
    <r>
      <rPr>
        <u/>
        <sz val="11"/>
        <color indexed="8"/>
        <rFont val="Calibri"/>
        <family val="2"/>
        <charset val="204"/>
      </rPr>
      <t>покрытие переходного типа</t>
    </r>
    <r>
      <rPr>
        <sz val="11"/>
        <color theme="1"/>
        <rFont val="Calibri"/>
        <family val="2"/>
        <scheme val="minor"/>
      </rPr>
      <t>:</t>
    </r>
  </si>
  <si>
    <r>
      <t xml:space="preserve"> - </t>
    </r>
    <r>
      <rPr>
        <b/>
        <i/>
        <u/>
        <sz val="11"/>
        <color indexed="8"/>
        <rFont val="Calibri"/>
        <family val="2"/>
        <charset val="204"/>
      </rPr>
      <t>усовершенствованное покрытие:</t>
    </r>
    <r>
      <rPr>
        <sz val="11"/>
        <color theme="1"/>
        <rFont val="Calibri"/>
        <family val="2"/>
        <scheme val="minor"/>
      </rPr>
      <t xml:space="preserve"> цементобетонное; асфальтобетонное; из щебня и гравия, обработанных вяжущими материалами</t>
    </r>
  </si>
  <si>
    <r>
      <t xml:space="preserve"> -</t>
    </r>
    <r>
      <rPr>
        <u/>
        <sz val="11"/>
        <color indexed="8"/>
        <rFont val="Calibri"/>
        <family val="2"/>
        <charset val="204"/>
      </rPr>
      <t xml:space="preserve"> </t>
    </r>
    <r>
      <rPr>
        <b/>
        <i/>
        <u/>
        <sz val="11"/>
        <color indexed="8"/>
        <rFont val="Calibri"/>
        <family val="2"/>
        <charset val="204"/>
      </rPr>
      <t>покрытие переходного типа</t>
    </r>
    <r>
      <rPr>
        <sz val="11"/>
        <color theme="1"/>
        <rFont val="Calibri"/>
        <family val="2"/>
        <scheme val="minor"/>
      </rPr>
      <t>: из щебня и гравия (шлака), не обработанных вяжущими материалами; каменные мостовые; из грунтов и местных малопрочных материалов, обработанных вяжущими материалами)</t>
    </r>
  </si>
  <si>
    <r>
      <t>1. К вопросам местного значения муниципального района относятся: ......
5)Дорожная деятельность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(</t>
    </r>
    <r>
      <rPr>
        <b/>
        <sz val="11"/>
        <color indexed="8"/>
        <rFont val="Calibri"/>
        <family val="2"/>
        <charset val="204"/>
      </rPr>
      <t>пункт 5 части 1 статьи 15 федерального закона от 06.10.2003 № 131-ФЗ «Об общих принципах организации местного самоуправления в Российской Федерации»</t>
    </r>
    <r>
      <rPr>
        <sz val="11"/>
        <color theme="1"/>
        <rFont val="Calibri"/>
        <family val="2"/>
        <scheme val="minor"/>
      </rPr>
      <t xml:space="preserve">)
</t>
    </r>
  </si>
  <si>
    <r>
      <t>Дорожная деятельность в отношении автомобильных дорог местного значения в границах населенных пунктов сельского поселения не относится к вопросам местного значения сельских поселений (</t>
    </r>
    <r>
      <rPr>
        <b/>
        <sz val="11"/>
        <color indexed="8"/>
        <rFont val="Calibri"/>
        <family val="2"/>
        <charset val="204"/>
      </rPr>
      <t>часть 3 статьи 14 ФЗ №131)</t>
    </r>
    <r>
      <rPr>
        <sz val="11"/>
        <color theme="1"/>
        <rFont val="Calibri"/>
        <family val="2"/>
        <scheme val="minor"/>
      </rPr>
      <t xml:space="preserve"> и является компетенцией муниципального района </t>
    </r>
    <r>
      <rPr>
        <b/>
        <sz val="11"/>
        <color indexed="8"/>
        <rFont val="Calibri"/>
        <family val="2"/>
        <charset val="204"/>
      </rPr>
      <t>(часть 3 статьи 14 ФЗ №131</t>
    </r>
    <r>
      <rPr>
        <sz val="11"/>
        <color theme="1"/>
        <rFont val="Calibri"/>
        <family val="2"/>
        <scheme val="minor"/>
      </rPr>
      <t>)</t>
    </r>
  </si>
  <si>
    <t xml:space="preserve">В т.ч. усовершенствованное (из гр.7), км </t>
  </si>
  <si>
    <t>с. Лискинское ул. Полевая</t>
  </si>
  <si>
    <t>с. Лискинское ул. Дорожная</t>
  </si>
  <si>
    <t>с. Лискинское ул. Полевая - ул. Луговая</t>
  </si>
  <si>
    <t>с. Лискинское  ул. Луговая</t>
  </si>
  <si>
    <t>с. Лискинское подъездная дорога к свиноферме</t>
  </si>
  <si>
    <t>Садоводческое товарищество ветерок квартал 3/4</t>
  </si>
  <si>
    <t>Садоводческое товарищество ветерок квартал 1</t>
  </si>
  <si>
    <t>Садоводческое товарищество ветерок квартал 2</t>
  </si>
  <si>
    <t>с. Лискинское ул. Весенняя</t>
  </si>
  <si>
    <t>с. Лискинское ул. Вишневая</t>
  </si>
  <si>
    <t>с. Лискинское ул. Березовая</t>
  </si>
  <si>
    <t>с. Лискинское ул. Вишневая - автомобильная дорога г. Лиски - с. Лискинское</t>
  </si>
  <si>
    <t>с. Лискинское ул. Вишневая - ул. Молодежная</t>
  </si>
  <si>
    <t>проезд</t>
  </si>
  <si>
    <t>улица</t>
  </si>
  <si>
    <t>с. Лискинское ул. Мира</t>
  </si>
  <si>
    <t>с. Лискинское ул. Мира-ул. Новоселов 1</t>
  </si>
  <si>
    <t>с. Лискинское ул. Мира-ул. Новоселов 2</t>
  </si>
  <si>
    <t>с. Лискинское ул. 8 Марта</t>
  </si>
  <si>
    <t>с. Лискинское ул. 8 Марта - ул. Вишневая</t>
  </si>
  <si>
    <t>с. Лискинское ул. Солнечная</t>
  </si>
  <si>
    <t>с. Лискинское ул. Молодёжная</t>
  </si>
  <si>
    <t>с. Лискинское ул. Молодёжная проезд к домам</t>
  </si>
  <si>
    <t>с. Лискинское ул. Спортивная</t>
  </si>
  <si>
    <t>с. Лискинское ул. Школьная</t>
  </si>
  <si>
    <t>с. Лискинское подъезд к школе</t>
  </si>
  <si>
    <t>с. Лискинское ул. Новоселов</t>
  </si>
  <si>
    <t>с. Лискинское ул. Новоселов проезд к домам</t>
  </si>
  <si>
    <t>с. Лискинское ул. 9 Мая</t>
  </si>
  <si>
    <t>с. Лискинское ул. Труда</t>
  </si>
  <si>
    <t>с. Лискинское ул. 40 лет Победы</t>
  </si>
  <si>
    <t>с. Лискинское ул. 40 лет Победы проезд к домам</t>
  </si>
  <si>
    <t>с. Лискинское окружная дорога</t>
  </si>
  <si>
    <t xml:space="preserve">с. Лискинское ул. Западная </t>
  </si>
  <si>
    <t>с. Лискинское ул. Рабочая</t>
  </si>
  <si>
    <t>с. Лискинское ул. Садовая</t>
  </si>
  <si>
    <t xml:space="preserve">с. Лискинское ул. Строителей </t>
  </si>
  <si>
    <t>с. Лискинское проезд к сараям</t>
  </si>
  <si>
    <t>с. Лискинское ул. Весенняя-песчаный карьер</t>
  </si>
  <si>
    <t>с. Лискинское ул. Западная-песчаный карьер</t>
  </si>
  <si>
    <t>с. Лискинское ул. Березовая-путипровод</t>
  </si>
  <si>
    <t>с. Лискинское ул. Березовая - Северный обход г. Лиски 1</t>
  </si>
  <si>
    <t>с. Лискинское ул. Весенняя - Северный обход г. Лиски</t>
  </si>
  <si>
    <t>с. Лискинское дорога к клатбищу</t>
  </si>
  <si>
    <t>с. Лискинское ул. Объездная - станция придонская</t>
  </si>
  <si>
    <t>с. Лискинское ул. Объездная - яблочный сад</t>
  </si>
  <si>
    <t>с. Лискинское ул. Дорожная - яблочный сад</t>
  </si>
  <si>
    <t>2-е отделение с-за 2-я Пятилетка - станция Придонская</t>
  </si>
  <si>
    <t>Подъездная автомобильная дорога к 2 отделению с-за 2-я Пятилетка</t>
  </si>
  <si>
    <t>Подъездная дорога к комбикормовому заводу</t>
  </si>
  <si>
    <t>с. Лискинское ул. Озерная</t>
  </si>
  <si>
    <t>М-Дон - Лиски - ОАО Маяк</t>
  </si>
  <si>
    <t>М-Дон - Лиски - поля фильтрации ОАО Маяк</t>
  </si>
  <si>
    <t>Садоводческое товарищество "Ветерок" 4 квартал - г.Лиски</t>
  </si>
  <si>
    <t>Садоводческое товарищество "Солнечный"</t>
  </si>
  <si>
    <t>Садоводческое товарищество "Тихая Сосна"</t>
  </si>
  <si>
    <t>Садоводчиское товарищество Ветерок - автомобильная дорога Лиски - Н. Икорец</t>
  </si>
  <si>
    <t>г. Лиски - с. Нижний Икорец</t>
  </si>
  <si>
    <t>Садоводчиское товарищество Ветерок 1 Квартал - 2 квартал проезд №2</t>
  </si>
  <si>
    <t>Садоводчиское товарищество Ветерок 1 Квартал - 2 квартал проезд №1</t>
  </si>
  <si>
    <t>Садоводчиское товарищество Ветерок 1 Квартал - 2 квартал проезд №3</t>
  </si>
  <si>
    <t>Садоводчиское товарищество Ветерок 2 Квартал - автомобильная дорога Лиски- н. Икорец</t>
  </si>
  <si>
    <t>Краснознаменское с.п. Полевая дорога №1</t>
  </si>
  <si>
    <t>Краснознаменское с.п. Полевая дорога №2</t>
  </si>
  <si>
    <t>Краснознаменское с.п. Полевая дорога №3</t>
  </si>
  <si>
    <t>Краснознаменское с.п. Полевая дорога №4</t>
  </si>
  <si>
    <t>Краснознаменское с.п. Полевая дорога №5</t>
  </si>
  <si>
    <t>Краснознаменское с.п. Полевая дорога №6</t>
  </si>
  <si>
    <t>Краснознаменское с.п. Полевая дорога №7</t>
  </si>
  <si>
    <t>Краснознаменское с.п. Полевая дорога №8</t>
  </si>
  <si>
    <t>с. Щучье ул. Мира</t>
  </si>
  <si>
    <t>с. Щучье ул. Советская</t>
  </si>
  <si>
    <t>с. Щучье ул. Труда</t>
  </si>
  <si>
    <t>с. Щучье ул. Школьная</t>
  </si>
  <si>
    <t>с. Щучье ул. Красноармейская</t>
  </si>
  <si>
    <t>с. Щучье ул. Кольцовская</t>
  </si>
  <si>
    <t>с. Щучье ул. Октябрьская</t>
  </si>
  <si>
    <t>с. Щучье ул. Революционная</t>
  </si>
  <si>
    <t>с. Щучье ул. Пионерская</t>
  </si>
  <si>
    <t>с. Щучье ул. Первомайская</t>
  </si>
  <si>
    <t>с. Щучье ул. Комсомольская</t>
  </si>
  <si>
    <t>с. Переезжее ул. Коммунистическая</t>
  </si>
  <si>
    <t>с. Переезжее 1 пер. Колхозный</t>
  </si>
  <si>
    <t>с. Переезжее 1 пер. Коммунистической</t>
  </si>
  <si>
    <t>с. Переезжее 2 пер. Колхозный</t>
  </si>
  <si>
    <t>с. Переезжее 2 пер. Коммунистической</t>
  </si>
  <si>
    <t>с. Переезжее - р. Дон</t>
  </si>
  <si>
    <t>с. Переезжее - овцеферма</t>
  </si>
  <si>
    <t>с. Щучье - граница Колыбельского с.п.</t>
  </si>
  <si>
    <t>с. Щучье - яр Корошиново</t>
  </si>
  <si>
    <t>с. Щучье - тракторный отряд</t>
  </si>
  <si>
    <t>с. Щучье МТФ - пляж р. Дон</t>
  </si>
  <si>
    <t>с. Переезжее ул. Коммунистическая -  пляж р. Дон</t>
  </si>
  <si>
    <t>с. Переезжее 1 пер. Колхозный - р. Дон</t>
  </si>
  <si>
    <t>с. Щучье ул. Труда - с. Переезжее</t>
  </si>
  <si>
    <t>с. Щучье ул. Кольцовская - ул. Труда</t>
  </si>
  <si>
    <t>с. Щучье ул. Кольцовская - пляж р. Дон</t>
  </si>
  <si>
    <t>с. Щучье ул. Кольцовская - ул. Первомайская</t>
  </si>
  <si>
    <t>с. Щучье ул. Кольцовская - переправа</t>
  </si>
  <si>
    <t>с. Щучье ул. Октябрьская - переправа</t>
  </si>
  <si>
    <t>с. Щучье ул. Мира - переправа</t>
  </si>
  <si>
    <t>Щучинское с.п. Овцеферма - тракторный отряд</t>
  </si>
  <si>
    <t>с. Щучье - пруд</t>
  </si>
  <si>
    <t>с. Переезжее - пруд- граница Пертовского с.п.</t>
  </si>
  <si>
    <t>подъездная дорога к пруду "Щучинский"</t>
  </si>
  <si>
    <t>с. Высокое ул. Мира</t>
  </si>
  <si>
    <t>с. Высокое ул. Новая</t>
  </si>
  <si>
    <t>с. Высокое ул. Комсомольская</t>
  </si>
  <si>
    <t>с. Высокое ул. Полевая</t>
  </si>
  <si>
    <t>с. Высокое ул. Садовая</t>
  </si>
  <si>
    <t>с. Высокое пер. Садовой</t>
  </si>
  <si>
    <t>с. Высокое ул. Гагарина</t>
  </si>
  <si>
    <t>с. Высокое ул. Чкалова</t>
  </si>
  <si>
    <t>с. Высокое ул. Молодежная</t>
  </si>
  <si>
    <t>с. Высокое ул. Привокзальная</t>
  </si>
  <si>
    <t>с. Высокое ул. Рабочая</t>
  </si>
  <si>
    <t>с. Высокое ул. Придорожная</t>
  </si>
  <si>
    <t>с. Высокое ул. 50 лет Победы</t>
  </si>
  <si>
    <t>с. Высокое ул. Степная</t>
  </si>
  <si>
    <t>с. Высокое ул. Солнечная</t>
  </si>
  <si>
    <t>с. Высокое ул. Березовая</t>
  </si>
  <si>
    <t>с. Высокое ул. Гагарина-ТОК</t>
  </si>
  <si>
    <t>с. Высокое ул. Гагарина - водозабор</t>
  </si>
  <si>
    <t>с. Высокое ул. Советская</t>
  </si>
  <si>
    <t>с. Высокое подъездная дорога к МТФ</t>
  </si>
  <si>
    <t>с. Высокое ул. Юбилейная</t>
  </si>
  <si>
    <t>с. Высокое ул. Новая - сельский пруд</t>
  </si>
  <si>
    <t>с. Высокое ул. Комсомольская - стадион</t>
  </si>
  <si>
    <t>с. Высокое ул. Комсомольская - водозабор</t>
  </si>
  <si>
    <t>с. Высокое ул. Новая - МТФ</t>
  </si>
  <si>
    <t>х. Ст. Покровка ул. Степная</t>
  </si>
  <si>
    <t xml:space="preserve">х. Ст. Покровка пер. Степной </t>
  </si>
  <si>
    <t>х. Ст. Покровка ул. Центральная</t>
  </si>
  <si>
    <t>х. Ст. Покровка ул. Мира</t>
  </si>
  <si>
    <t>х. Ст. Покровка ул. Песчаная</t>
  </si>
  <si>
    <t>х. Ст. Покровка ул. Березовая</t>
  </si>
  <si>
    <t xml:space="preserve">х. Ст. Покровка ул. Луговая </t>
  </si>
  <si>
    <t>х. Ст. Покровка пер. Мира</t>
  </si>
  <si>
    <t>х. Ср. Покровка пер. Луговой</t>
  </si>
  <si>
    <t>х. Ст. Покровка ул. Приозерная</t>
  </si>
  <si>
    <t>х. Подлесный ул. Абрикосовая</t>
  </si>
  <si>
    <t>х. Подлесный ул. Солнечная</t>
  </si>
  <si>
    <t>х. Подлесный ул. Овражная</t>
  </si>
  <si>
    <t>х. Подлесный ул. Рабочая</t>
  </si>
  <si>
    <t>х. Подлесный ул. Ольховая</t>
  </si>
  <si>
    <t>х. Подлесный ул. Вишневая</t>
  </si>
  <si>
    <t>х. Подлесный ул. Яблочная</t>
  </si>
  <si>
    <t>х. Подлесный ул. Грушевая</t>
  </si>
  <si>
    <t>х. Подлесный ул. Садовая</t>
  </si>
  <si>
    <t>х. Подлесный ул. Дачная</t>
  </si>
  <si>
    <t>х. Подлесный ул. Лесная</t>
  </si>
  <si>
    <t>х. Подлесный ул. Тенистая</t>
  </si>
  <si>
    <t>х. Подлесный ул. Торговая</t>
  </si>
  <si>
    <t>х. Подлесный ул. Сосновая</t>
  </si>
  <si>
    <t>х. Подлесный 1 пер. Сосновой</t>
  </si>
  <si>
    <t>х. Подлесный ул. Сосновая проезд к домам</t>
  </si>
  <si>
    <t>х. Подлесный ул. Придорожная</t>
  </si>
  <si>
    <t>х. Подлесный ул. Мира</t>
  </si>
  <si>
    <t>х. Подлесный ул. Песчаная</t>
  </si>
  <si>
    <t>х. Подлесный ул. Луговая</t>
  </si>
  <si>
    <t>х. Подлесный - площадка Лискобройлер</t>
  </si>
  <si>
    <t>х. Подлесный - автодорога Лиски - копанище</t>
  </si>
  <si>
    <t>с. Высокое - карьер- автодорога Северный обход</t>
  </si>
  <si>
    <t>с. Высокое МТФ-Свалка ТБО</t>
  </si>
  <si>
    <t>с. Высокое - площадка Бройлер х. Степной</t>
  </si>
  <si>
    <t>Подъездрая дорога к комплексу КРС</t>
  </si>
  <si>
    <t>с. Высокое ул. Привокзальная - трасса Лиски-Давыдовка</t>
  </si>
  <si>
    <t>с. Высокое МТФ - песчаный карьер</t>
  </si>
  <si>
    <t>х. Подлесный - о. Ястребинка</t>
  </si>
  <si>
    <t>с. Высокое ул. Полевая подъезд к школе</t>
  </si>
  <si>
    <t>Высокинское с.п. подъездная автомобильная дорога к инкубатору</t>
  </si>
  <si>
    <t xml:space="preserve">Высокинское с.п.Дачный коопиратив Бородино </t>
  </si>
  <si>
    <t>Высокинское с.п.Подъездная дорога к дачному коопиративу Бородино</t>
  </si>
  <si>
    <t>Автодорога Лиски - Давыдовка- Дачный коопиратив Дубки-ПЧ 3</t>
  </si>
  <si>
    <t>Высокинское с.п. Дачный коопиратив "Дубки"</t>
  </si>
  <si>
    <t>с. Нижний Икорец ул. Суворова</t>
  </si>
  <si>
    <t xml:space="preserve">с. Нижний Икорец ул. Победы </t>
  </si>
  <si>
    <t>с. Нижний Икорец ул. 7 съезд Советов - МТФ</t>
  </si>
  <si>
    <t xml:space="preserve">с. Нижний Икорец ул. Мира </t>
  </si>
  <si>
    <t>с. Нижний Икорец ул.Мира - площадка ТБО</t>
  </si>
  <si>
    <t>с. Нижний Икорец ул. Победы-ул. Мира</t>
  </si>
  <si>
    <t>с. Нижний Икорец ул. Мира - родник</t>
  </si>
  <si>
    <t>с. Нижний Икорец ул. Ленина</t>
  </si>
  <si>
    <t>с. Нижний Икорец ул. Титова</t>
  </si>
  <si>
    <t>с. Нижний Икорец ул. Титова - ул. Мира проезд 3</t>
  </si>
  <si>
    <t>с. Нижний Икорец ул. Титова - ул. Мира проезд 2</t>
  </si>
  <si>
    <t>с. Нижний Икорец ул. Титова - ул. Мира проезд 1</t>
  </si>
  <si>
    <t xml:space="preserve">с. Нижний Икорец ул. Молодежная </t>
  </si>
  <si>
    <t>с. Нижний Икорец ул. Победы - ул. Мира</t>
  </si>
  <si>
    <t>с. Нижний Икорец ул. 7 съезд Советов</t>
  </si>
  <si>
    <t>с. Нижний Икорец ул. Кирова</t>
  </si>
  <si>
    <t>с. Нижний Икорец ул. Кирова - летний лагерь КРС</t>
  </si>
  <si>
    <t>с. Нижний Икорец ул. К. Маркса - ул. Кирова</t>
  </si>
  <si>
    <t xml:space="preserve">с. Нижний Икорец ул. К. Маркса </t>
  </si>
  <si>
    <t>с. Нижний Икорец ул. К. Маркса - ферма КРС</t>
  </si>
  <si>
    <t>с. Нижний Икорец  ул. А. Пшеничных</t>
  </si>
  <si>
    <t xml:space="preserve">с. Масловка ул. Винивитина </t>
  </si>
  <si>
    <t>с. Масловка ул. Винивитина - лог</t>
  </si>
  <si>
    <t xml:space="preserve">х. Солонцы ул. 8 Марта </t>
  </si>
  <si>
    <t>х. Стрелка ул. Чапаева</t>
  </si>
  <si>
    <t>х. Стрелка дорога к клатбищу</t>
  </si>
  <si>
    <t>Нижнеикорецкое с.п. с. Нижний Икорец-х. Стрелка</t>
  </si>
  <si>
    <t>Автомобильная дорога с. Нижний Икорец-М-Дон - Лиски</t>
  </si>
  <si>
    <t>с. Нижний Икорец - с. Средний Икорец</t>
  </si>
  <si>
    <t>с. Масловка - х. Солонцы</t>
  </si>
  <si>
    <t>с. Масловка подъезд к заводу мин. воды</t>
  </si>
  <si>
    <t>Нижнеикорецкое с.п. подъедная дорога к месту отдыха "Масловский плес"</t>
  </si>
  <si>
    <t>с. Нижний Икорец ул. Титова - р. Икорец</t>
  </si>
  <si>
    <t>с. Нижний Икорец ул. Титова - летний лагерь КРС</t>
  </si>
  <si>
    <t>с. Нижний Икорец ул. Победы-Площадка бройлер</t>
  </si>
  <si>
    <t xml:space="preserve">Нижнеикорецкое с.п. дачный кооператив </t>
  </si>
  <si>
    <t>Подъездная дорога к месту отдыха "Лысая гора"</t>
  </si>
  <si>
    <t>ул. Кирова - о.Перева -  о.Волочильное</t>
  </si>
  <si>
    <t>с. Нижний Икорец подъездная дорога к конному клубу</t>
  </si>
  <si>
    <t>с. Нижний Икорец - очистные сооружения</t>
  </si>
  <si>
    <t>х. Солонцы - Трасса М4 - Дон</t>
  </si>
  <si>
    <t>Нижнеикорецкое с.п. Полевая дорога №1</t>
  </si>
  <si>
    <t>Нижнеикорецкое с.п. подъездная дорога к прудам</t>
  </si>
  <si>
    <t xml:space="preserve">с. Тресоруково ул. М. Горького </t>
  </si>
  <si>
    <t>с. Тресоруково ул. Тимирязева</t>
  </si>
  <si>
    <t>с. Тресоруково ул. Чапаева</t>
  </si>
  <si>
    <t xml:space="preserve">с. Тресоруково ул. Красноармейская </t>
  </si>
  <si>
    <t>с. Тресоруково ул. Кирова</t>
  </si>
  <si>
    <t xml:space="preserve">с. Тресоруково ул. Гагарина </t>
  </si>
  <si>
    <t>с. Тресоруково ул. Набережная</t>
  </si>
  <si>
    <t>с. Тресоруково пер. Мира</t>
  </si>
  <si>
    <t>с. Тресоруково ул. Почтовая</t>
  </si>
  <si>
    <t>с. Тресоруково ул. Советская</t>
  </si>
  <si>
    <t>с. Тресоруково ул. Мира - подъезд к клатбищу</t>
  </si>
  <si>
    <t>с. Тресоруково - подъезд к ТОКу</t>
  </si>
  <si>
    <t>с. Нижнемарьино ул. Свердлова</t>
  </si>
  <si>
    <t xml:space="preserve">с. Нижнемарьино ул. Орджаникидзе </t>
  </si>
  <si>
    <t>с. Нижнемарьино ул. Лермонтова</t>
  </si>
  <si>
    <t>с. Нижнемарьино ул. Школьная</t>
  </si>
  <si>
    <t xml:space="preserve">с. Нижнемарьино ул. Пушкина </t>
  </si>
  <si>
    <t>с. Нижнемарьино ул. Терешковой</t>
  </si>
  <si>
    <t>с. Нижнемарьино ул. Школьная - подъезд к ТОКу</t>
  </si>
  <si>
    <t>с. Нижнемарьино ул. Луговая</t>
  </si>
  <si>
    <t>с. Нижнемарьино ул. Кутузова</t>
  </si>
  <si>
    <t>с. Нижнемарьино ул. Кутузова - подъезд к р. Хворостань</t>
  </si>
  <si>
    <t>с. Нижнемарьино ул. Лермонтова - подъезд к клатбищу</t>
  </si>
  <si>
    <t>с. Тресоруково ул. Лазо</t>
  </si>
  <si>
    <t xml:space="preserve">с. Добрино ул. Ст. Разина </t>
  </si>
  <si>
    <t>с. Добрино ул. Чкалова</t>
  </si>
  <si>
    <t xml:space="preserve">с. Добрино ул. Калинина </t>
  </si>
  <si>
    <t>с. Добрино ул. Ст. Разина - подъезд к клатбищу</t>
  </si>
  <si>
    <t>с. Добрино ул. Титова</t>
  </si>
  <si>
    <t>с. Добрино пер. Титова</t>
  </si>
  <si>
    <t>с. Добрино пер. Титова - ул. Чкалова</t>
  </si>
  <si>
    <t>с. Добрино ул. Чкалова - подъезд к МТФ</t>
  </si>
  <si>
    <t>с. Рождествено ул. Шевченко</t>
  </si>
  <si>
    <t>с. Рождествено ул. Куйбышева</t>
  </si>
  <si>
    <t>с. Рождествено ул. Ленина</t>
  </si>
  <si>
    <t>с. Рождествено ул. Ломоносова</t>
  </si>
  <si>
    <t>с. Рождествено ул. Ленина - дорога к клатбищу</t>
  </si>
  <si>
    <t>с. Добрино ул. Титова - ул. Придорожная</t>
  </si>
  <si>
    <t xml:space="preserve">с. Добрино ул. Придорожная </t>
  </si>
  <si>
    <t>с. Рождествено - х. Сосовка</t>
  </si>
  <si>
    <t>с. Рождествено ул. Фурманова</t>
  </si>
  <si>
    <t>с. Тресоруково  ул. Мира - подъезд к СТФ</t>
  </si>
  <si>
    <t>с. Нижнемарьино ул. Заводская - подъезд к кирпичному заводу</t>
  </si>
  <si>
    <t>с. Нижнемарьино ул. Лермонтова - подъезд к ГТС</t>
  </si>
  <si>
    <t>ул. Советская - подъезд к р. Хворостань</t>
  </si>
  <si>
    <t>с. Добрино ул. Чкалова - подъезд к р. Хворостань</t>
  </si>
  <si>
    <t>с. Нижнемарьино ул. Пушкино - тракторный отряд</t>
  </si>
  <si>
    <t>с. Тресоруково - подъезд к ТБО</t>
  </si>
  <si>
    <t>с. Тресоруково - подъезд к пруду</t>
  </si>
  <si>
    <t>с. Тресоруково ул. Советская - подъезд к площадке ТБО</t>
  </si>
  <si>
    <t>с. Добрино ул. Титова - подъезд к тракторному отряду</t>
  </si>
  <si>
    <t>с. Добрино ул. Придорожная - подъезд к пруду</t>
  </si>
  <si>
    <t>с. Рождествено ул. Крупской - подъезд к ГТС</t>
  </si>
  <si>
    <t>с. Рождествено - х. Кулешовка</t>
  </si>
  <si>
    <t>с. Рождествено ул. Крупской</t>
  </si>
  <si>
    <t xml:space="preserve">М4 - Дон -Даыдовка - подъезд к пруду с. Рождествено </t>
  </si>
  <si>
    <t>с. Нижнемарьино - станция Аношкино</t>
  </si>
  <si>
    <t>с. Нижнемарьино - с. Верхнемарьино</t>
  </si>
  <si>
    <t>с. Дракино ул. 50 лет Победы</t>
  </si>
  <si>
    <t>с. Дракино ул. Ленинградская</t>
  </si>
  <si>
    <t>с. Дракино ул. Дорожная</t>
  </si>
  <si>
    <t>с. Дракино ул. Солнечная</t>
  </si>
  <si>
    <t>с. Дракино ул. Полевая</t>
  </si>
  <si>
    <t>с. Дракино ул. Молодежная</t>
  </si>
  <si>
    <t>с. Дракино ул. Мира</t>
  </si>
  <si>
    <t>с. Дракино ул. Пушкинская</t>
  </si>
  <si>
    <t>с. Дракино ул. О. Кошевого</t>
  </si>
  <si>
    <t>с. Дракино ул. Советская</t>
  </si>
  <si>
    <t>с. Дракино ул. 20 лет Октября</t>
  </si>
  <si>
    <t>с. Дракино ул. Василевского</t>
  </si>
  <si>
    <t>с. Дракино ул. Василевского - ул. Красного Знамени</t>
  </si>
  <si>
    <t>с. Дракино ул. Красное знамя</t>
  </si>
  <si>
    <t>с. Дракино ул. Спортивная</t>
  </si>
  <si>
    <t>с. Дракино ул. Чапаева</t>
  </si>
  <si>
    <t>с. Дракино ул. Мичурина</t>
  </si>
  <si>
    <t>с. Дракино ул. Элеваторная</t>
  </si>
  <si>
    <t>Автомобильная дорога Лиски-Давыдовка-Тракторный отряд-Элеватор</t>
  </si>
  <si>
    <t>пос. с-за 2-я Пятилетка - пруд - п. Давыдовка</t>
  </si>
  <si>
    <t>Дракинское с.п. Полевая Дорога №1</t>
  </si>
  <si>
    <t>Дракинское с.п. Полевая Дорога №2</t>
  </si>
  <si>
    <t>Дракинское с.п. Полевая Дорога №3</t>
  </si>
  <si>
    <t>Дракинское с.п. Полевая Дорога №4</t>
  </si>
  <si>
    <t>Дракинское с.п. Полевая Дорога №5</t>
  </si>
  <si>
    <t>Дракинское с.п. Полевая Дорога №6</t>
  </si>
  <si>
    <t>с. Дракино автодорога Лиски - Давыдовка - Полигон ТБО</t>
  </si>
  <si>
    <t>с. Петровское ул. Первомайская</t>
  </si>
  <si>
    <t>с. Петровское ул. 40 лет Октября</t>
  </si>
  <si>
    <t>с. Петровское ул. Молодёжная 1</t>
  </si>
  <si>
    <t>с. Петровское ул. Молодёжная 2</t>
  </si>
  <si>
    <t>с. Петровское ул. Садовая</t>
  </si>
  <si>
    <t xml:space="preserve">с. Петровское ул. Школьная </t>
  </si>
  <si>
    <t>с. Петровское ул. Первомайская-комплекс КРС-ул. Школьная</t>
  </si>
  <si>
    <t>с. Петровское ул. Докучаева</t>
  </si>
  <si>
    <t>с. Петровское подъезд к ТОКу</t>
  </si>
  <si>
    <t>с. Петровское ул. Докучаева - пруд</t>
  </si>
  <si>
    <t xml:space="preserve">Петровское с.п. автомобильная дорога по х. Михайловский </t>
  </si>
  <si>
    <t xml:space="preserve">Петровское с.п. автомобильная дорога по х. Первое Мая </t>
  </si>
  <si>
    <t xml:space="preserve">с. Екатериновка ул. Мира </t>
  </si>
  <si>
    <t xml:space="preserve">с. Екатериновка ул. Тихая </t>
  </si>
  <si>
    <t xml:space="preserve">Петровское с.п. автомобильная дорога по х. Новая Грань </t>
  </si>
  <si>
    <t>с. Петровское - х. Первое Мая</t>
  </si>
  <si>
    <t>х. Михайловский - х. Новая Грань</t>
  </si>
  <si>
    <t>с. Петровское - х. Новая Грань</t>
  </si>
  <si>
    <t>Петровскоес.п. подъезд к пруду №1</t>
  </si>
  <si>
    <t>с. Екатериновка - с. Петровское</t>
  </si>
  <si>
    <t>с. Бодеевка ул. Советская</t>
  </si>
  <si>
    <t>с. Бодеевка ул. Мигенева</t>
  </si>
  <si>
    <t>с. Бодеевка ул. Школьная</t>
  </si>
  <si>
    <t xml:space="preserve">с. Бодеевка ул. 40 лет Октября </t>
  </si>
  <si>
    <t>х. Новозадонский ул. Вьюновка</t>
  </si>
  <si>
    <t>х. Новозадонский ул. Ковалевка</t>
  </si>
  <si>
    <t>х. Новозадонский ул. Центральная</t>
  </si>
  <si>
    <t>х. Новозадонский ул. Вьюновка - ул. Центральная</t>
  </si>
  <si>
    <t>с. Машкино ул. Тимофеева</t>
  </si>
  <si>
    <t>с. Машкино ул. Банникова</t>
  </si>
  <si>
    <t>с. Машкино ул. Речная</t>
  </si>
  <si>
    <t>х. Новониколаевский ул. Гончарова</t>
  </si>
  <si>
    <t>х. Новониколаевский ул.Сосновая</t>
  </si>
  <si>
    <t>х. Новониколаевский ул. Луговая</t>
  </si>
  <si>
    <t>с. Бодеевка о. Побочное</t>
  </si>
  <si>
    <t>с. Бодеевка-о.  Орешное</t>
  </si>
  <si>
    <t>с. Бодеевка - о. Старый Дон</t>
  </si>
  <si>
    <t>с. Бодеевка - р. Дон</t>
  </si>
  <si>
    <t>с. Бодеевка - о. Рукав</t>
  </si>
  <si>
    <t>с. Бодеевка -  о. Мигеневское</t>
  </si>
  <si>
    <t>с. Бодеевка- фермерское хозяйство</t>
  </si>
  <si>
    <t>х. Новониколаевский - фермерское хозяйство</t>
  </si>
  <si>
    <t>с. Бодеевка - лагерь КРС</t>
  </si>
  <si>
    <t>х. Новозадонский - о. Мигениво</t>
  </si>
  <si>
    <t>х. Новозадонский - р. Дон</t>
  </si>
  <si>
    <t>х. Новониколаевский - автодорога Воронеж-Луганск-Давыдовка</t>
  </si>
  <si>
    <t>с. Машкино - ферма КРС</t>
  </si>
  <si>
    <t>х. Новозадонский - с. Машкино</t>
  </si>
  <si>
    <t>с. Бодеевка - граница Высокинского с.п.</t>
  </si>
  <si>
    <t>с. Машкино - песчаный карьер</t>
  </si>
  <si>
    <t>с. Троицкое ул. Заводская</t>
  </si>
  <si>
    <t xml:space="preserve">с. Троицкое ул.Новоселов </t>
  </si>
  <si>
    <t>с. Троицкое ул. Новоселов - Ферма</t>
  </si>
  <si>
    <t>с. Троицкое ул. Полевая</t>
  </si>
  <si>
    <t>с. Троицкое ул.Крупской</t>
  </si>
  <si>
    <t>с. Троицкое ул. Новоселов 2</t>
  </si>
  <si>
    <t xml:space="preserve"> с. Троицкое ул. Ленина </t>
  </si>
  <si>
    <t xml:space="preserve">с. Троицкое ул. Победы </t>
  </si>
  <si>
    <t>с. Троицкое ул. Семенова</t>
  </si>
  <si>
    <t>с. Троицкое ул. Набережная</t>
  </si>
  <si>
    <t>с. Троицкое ул. 1 Мая</t>
  </si>
  <si>
    <t>с. Троицкое ул. Буденного</t>
  </si>
  <si>
    <t>с. Троицкое - тракторный отряд</t>
  </si>
  <si>
    <t>с. Троицкое - площадка ТБО</t>
  </si>
  <si>
    <t>с. Троицкое - автодорога Воронеж-Луганск-Давыдовка</t>
  </si>
  <si>
    <t>с. Троицкое - о.Белое</t>
  </si>
  <si>
    <t>с. Троицкое - о.Круглое</t>
  </si>
  <si>
    <t>с. Троицкое, полевая, хозяйственная дорога №1</t>
  </si>
  <si>
    <t>с. Троицкое, полевая, хозяйственная дорога №2</t>
  </si>
  <si>
    <t>с. Троицкое, полевая, хозяйственная дорога №3</t>
  </si>
  <si>
    <t>с. Троицкое, полевая, хозяйственная дорога №4</t>
  </si>
  <si>
    <t>с. Троицкое, полевая, хозяйственная дорога №5</t>
  </si>
  <si>
    <t>с. Троицкое, полевая, хозяйственная дорога №6</t>
  </si>
  <si>
    <t>с. Троицкое, полевая, хозяйственная дорога №7</t>
  </si>
  <si>
    <t>с. Троицкое, полевая, хозяйственная дорога №8</t>
  </si>
  <si>
    <t>с. Троицкое, полевая, хозяйственная дорога №9</t>
  </si>
  <si>
    <t xml:space="preserve">с. Сторожевское 2-е ул. Мичурина </t>
  </si>
  <si>
    <t>с. Сторожевское 2-е ул. Молодежная</t>
  </si>
  <si>
    <t>с. Сторожевское 2-е ул. Центральная</t>
  </si>
  <si>
    <t>с. Сторожевское 2-е ул. Центральная - подъезд к домам</t>
  </si>
  <si>
    <t>с. Сторожевское 2-е подъезд к заводу по переработке фруктов</t>
  </si>
  <si>
    <t>с. Сторожевское 2-е  подъезд к клатбищу</t>
  </si>
  <si>
    <t>с. Сторожевское 2-е ул.Советская - МТФ</t>
  </si>
  <si>
    <t>с. Сторожевское 2-е - Степнянское с.п.</t>
  </si>
  <si>
    <t>с. Сторожевское 2-е - х. Березово</t>
  </si>
  <si>
    <t>с. Машкино проезд ул. Банникова - ул. Тимофеева</t>
  </si>
  <si>
    <t xml:space="preserve">с. Машкино проезд ул. Речная - кладбище - ул. Тимофеева </t>
  </si>
  <si>
    <t>с. Машкино проезд ул. Тимофеева - кладбище</t>
  </si>
  <si>
    <t>с. Машкино проезд ул. Речная - ул. Тимофеева</t>
  </si>
  <si>
    <t>х. Новониколаевский проезд ул. Гончарова - ул. Луговая</t>
  </si>
  <si>
    <t>с. Бодеевка - Автомобильная дорога Воронеж-Луганск-Давыдовка - граница Троицкого с.п.</t>
  </si>
  <si>
    <t>с. Бодеевка - Автомобильная дорога Воронеж-Луганск-Давыдовка - граница Высокинского с.п.</t>
  </si>
  <si>
    <t>х. Новониколаевский - о. Корюково</t>
  </si>
  <si>
    <t>с. Машкино - р. Хворостанка</t>
  </si>
  <si>
    <t>х. Новозадонский - автомобильная дорога - Воронеж - Луганск - Давыдовка - граница Высокинского с.п.</t>
  </si>
  <si>
    <t>х. Новониколаевский - подъезд к кладбищу</t>
  </si>
  <si>
    <t>х. Новониколаевский- комплекс КРС</t>
  </si>
  <si>
    <t>с. Троицкое проезд ул. Полевая - ул. Новоселов</t>
  </si>
  <si>
    <t>с. Троицкое проезд ул. Полевая - ул. Крупской</t>
  </si>
  <si>
    <t>с. Троицкое проезд ул. Победы - ул. Крупской</t>
  </si>
  <si>
    <t>с. Троицкое проезд ул. Набережная - ул. 1 Мая - ул. Буденного</t>
  </si>
  <si>
    <t>с. Троицоке проезд ул. 1 Мая - ул. Буденного</t>
  </si>
  <si>
    <t>с. Троицкое - о. Степное</t>
  </si>
  <si>
    <t>с. Троицкое - о. Назар</t>
  </si>
  <si>
    <t>с. Троицкое - граница Высокинского с.п.</t>
  </si>
  <si>
    <t xml:space="preserve">с. Сторожевское 2-е проезд ул. Мичурина - ул. Молодежная </t>
  </si>
  <si>
    <t>с. Сторожевское 2-е проезд ул. Заводская - фруктохранилище</t>
  </si>
  <si>
    <t>с. Сторожевское 2-е проезд ул. Центральная - фруктохронилище</t>
  </si>
  <si>
    <t>с. Сторожевское 2-е ул. проезд ул. Заводская - кладбище</t>
  </si>
  <si>
    <t>с. Сторожевское 2-е проезд ул. Центральная -  площадка ТБО</t>
  </si>
  <si>
    <t>с. Сторожевское 2-е подъездная дорога к площадкам по выращивание бройлеров</t>
  </si>
  <si>
    <t>с. Сторожевское 2-е проезд ГТС №5</t>
  </si>
  <si>
    <t>с. Сторожевское 2-е проезд ул.Советская - ГТС №1</t>
  </si>
  <si>
    <t>с. Сторожевское 2-е проезд ул. Мичурина - ГТС Пруд №2</t>
  </si>
  <si>
    <t>с. Сторожевское - граница Почепского с.п.</t>
  </si>
  <si>
    <t>Сторожевское с.п. Полевая хозяйственная дорога №1</t>
  </si>
  <si>
    <t>Сторожевское с.п. Полевая хозяйственная дорога №2</t>
  </si>
  <si>
    <t>Сторожевское с.п. Полевая хозяйственная дорога №3</t>
  </si>
  <si>
    <t>с. Сторожевское 2-е подъезд к яблочному саду</t>
  </si>
  <si>
    <t>с. Старая Хворостань ул. Центральная</t>
  </si>
  <si>
    <t>с. Аношкино ул. Шиловская</t>
  </si>
  <si>
    <t>с. Аношкино ул. Кутузова</t>
  </si>
  <si>
    <t>с. Аношкино ул. Центральная</t>
  </si>
  <si>
    <t>с. Аношкино ул. Молодежная</t>
  </si>
  <si>
    <t>с. Аношкино ул. Конечная</t>
  </si>
  <si>
    <t>с. Аношкино ул. Луговская</t>
  </si>
  <si>
    <t xml:space="preserve">с. Аношкино ул. Сибирская </t>
  </si>
  <si>
    <t xml:space="preserve">с. Старая Хворостань ул. Конечная </t>
  </si>
  <si>
    <t>с. Старая Хворостань ул. Лесная</t>
  </si>
  <si>
    <t>с. Страя Хворостань ул. Мира</t>
  </si>
  <si>
    <t xml:space="preserve">с. Старая Хворостань ул. Школьная </t>
  </si>
  <si>
    <t>с. Старая Хворостань пер. Советский</t>
  </si>
  <si>
    <t>с. Старая Хворостань ул. Набережная</t>
  </si>
  <si>
    <t>с. Старая Хворостань ул. Донская</t>
  </si>
  <si>
    <t>с. Старая Хворостань проезд ул. Набережная - ул. Донская</t>
  </si>
  <si>
    <t>с. Старая Хворостань проезд пер. Советский - ул. Донская</t>
  </si>
  <si>
    <t>с. Старая Хворостань проезд ул. Школьная - Ферма</t>
  </si>
  <si>
    <t>Автомобильная дорога х. Осинки</t>
  </si>
  <si>
    <t>с. Селявное 2-е ул. Советская</t>
  </si>
  <si>
    <t>с. Селявное 2-е ул. Овражная</t>
  </si>
  <si>
    <t>с. Селявное 2-е ул. Хмелевая</t>
  </si>
  <si>
    <t>с.Селявное 2-е ул. Полевая</t>
  </si>
  <si>
    <t>с. Селявное 2-е ул. Пл. Победы</t>
  </si>
  <si>
    <t>с. Селявное 2-е ул. Центральная</t>
  </si>
  <si>
    <t>с. Селявное 2-е ул. Солнечная</t>
  </si>
  <si>
    <t>с. Селявное 2-е ул. Садовая</t>
  </si>
  <si>
    <t>с. Селявное 2-е ул. Героев</t>
  </si>
  <si>
    <t>с. Селявное 2-е пер. Победы</t>
  </si>
  <si>
    <t>с. Селявное 2-е ул. Беговая</t>
  </si>
  <si>
    <t>с. Селявное 2-е ул. Лесная</t>
  </si>
  <si>
    <t>с. Селявное 2-е ул. Краснодарская</t>
  </si>
  <si>
    <t xml:space="preserve">с. Селявное 2-е ул. Мира </t>
  </si>
  <si>
    <t>с. Селявное 2-е ул. Дорожная</t>
  </si>
  <si>
    <t>с. Селявное 2-е проезд к кладбищу</t>
  </si>
  <si>
    <t>с. Селявное 2-е проезд ул. Героев - ул. Садовая</t>
  </si>
  <si>
    <t>с. Селявное 2-е проезд к памятнику Чалпонбая Тулибердиева</t>
  </si>
  <si>
    <t>х. Титчиха ул. Садовая</t>
  </si>
  <si>
    <t>х. Титчиха ул. Верхняя</t>
  </si>
  <si>
    <t>х. Титчиха ул. Центральная</t>
  </si>
  <si>
    <t>х. Титчиха ул. Садовая 2</t>
  </si>
  <si>
    <t>х. Титчиха проезд к памятнику</t>
  </si>
  <si>
    <t>п. Аношкино ул. Полевая</t>
  </si>
  <si>
    <t xml:space="preserve">п. Аношкино ул. Железнодорожная </t>
  </si>
  <si>
    <t>п. Аношкино ул. Железнодорожная 2</t>
  </si>
  <si>
    <t>Автомобильная дорога х. Прогонный</t>
  </si>
  <si>
    <t>х. Прогонный ул. Садовая</t>
  </si>
  <si>
    <t>х. Прогонный проезд к кладбищу</t>
  </si>
  <si>
    <t>Автомобильная дорога х. Студеновка</t>
  </si>
  <si>
    <t xml:space="preserve">Садоводчиское товарищество Железнодорожник </t>
  </si>
  <si>
    <t xml:space="preserve">Садоводчиское товарищество Высотник </t>
  </si>
  <si>
    <t>с. Аношкино - х. Осинки</t>
  </si>
  <si>
    <t>с. Аношкино - г. Нововоронеж</t>
  </si>
  <si>
    <t>с. Аношкино - п. Аношкино</t>
  </si>
  <si>
    <t>с. Старая Хворостань - с. Машкино</t>
  </si>
  <si>
    <t>с. Старая Хворостань - х. Титчиха</t>
  </si>
  <si>
    <t>с. Селявное 2-е - с. Сторожевское 1-е</t>
  </si>
  <si>
    <t>с. Аношкино - х. Михайловка</t>
  </si>
  <si>
    <t>с. Селявное - р. Дон</t>
  </si>
  <si>
    <t>Старохворостанское с.п. полевая хозяйственная дорога №1</t>
  </si>
  <si>
    <t>Старохворостанское с.п. полевая хозяйственная дорога №2</t>
  </si>
  <si>
    <t>п. Аношкино - х. Осинки</t>
  </si>
  <si>
    <t>с. Старая Хворостань - п. Аношкино</t>
  </si>
  <si>
    <t>п. Аношкино - х. Осинки - г. Нововоронеж</t>
  </si>
  <si>
    <t>х. Прогонный проезд к складам овощесушильного завода</t>
  </si>
  <si>
    <t>х. Прогонный проезд к полигону ТБО</t>
  </si>
  <si>
    <t>с. Почепское ул. Луговая</t>
  </si>
  <si>
    <t xml:space="preserve">с. Почепское ул. Советская </t>
  </si>
  <si>
    <t xml:space="preserve">с. Почепское ул. Колхозная </t>
  </si>
  <si>
    <t xml:space="preserve">с. Почепское ул. Садовая </t>
  </si>
  <si>
    <t xml:space="preserve">с. Почепское ул. Коммунистическая </t>
  </si>
  <si>
    <t xml:space="preserve">с. Почепское ул. Заречная </t>
  </si>
  <si>
    <t>с. Почепское ул. Чапаева</t>
  </si>
  <si>
    <t>с. Почепское проезд ул.Полевая - ул. Чапаева</t>
  </si>
  <si>
    <t>с. Почепское ул. ул. Красноармейская</t>
  </si>
  <si>
    <t>с. Почепское проезд ул.Гагарина - ул. Красноармейская</t>
  </si>
  <si>
    <t xml:space="preserve">с. Почепское ул.Гагарина </t>
  </si>
  <si>
    <t>с. Почепское ул. Березовая Роща</t>
  </si>
  <si>
    <t>с. Почепское проезд ул. Заречная - ул. Коммунистическая</t>
  </si>
  <si>
    <t>с. Почепское проезд ул. Заречная - ул. Садовая</t>
  </si>
  <si>
    <t>с. Ермоловка подъезд к клатбищу</t>
  </si>
  <si>
    <t xml:space="preserve">с. Ермоловка ул. Подгорная </t>
  </si>
  <si>
    <t xml:space="preserve">с. Ермоловка ул. Зеленая </t>
  </si>
  <si>
    <t xml:space="preserve">с. Ермоловка ул. Новая </t>
  </si>
  <si>
    <t>с. Ермоловка ул. Школьная</t>
  </si>
  <si>
    <t xml:space="preserve">с. Ермоловка ул. Народная </t>
  </si>
  <si>
    <t>с. Ермоловка ул. Колхозная</t>
  </si>
  <si>
    <t xml:space="preserve">с. Ермоловка ул. Круглая </t>
  </si>
  <si>
    <t>с. Ермоловка подъезд к тракторному отряду</t>
  </si>
  <si>
    <t>с. Дмитриевка ул. Октябрьская</t>
  </si>
  <si>
    <t>с. Дмитриевка ул. Юбилейная</t>
  </si>
  <si>
    <t xml:space="preserve">с. Дмитриевка ул.Огородняя </t>
  </si>
  <si>
    <t>с. Почепское - с. Дмитриевка</t>
  </si>
  <si>
    <t>с. Дмитриевка подъезд к мастерским</t>
  </si>
  <si>
    <t xml:space="preserve">х. Луговой ул. Солнечная </t>
  </si>
  <si>
    <t xml:space="preserve">х. Луговой ул. Железнодорожная </t>
  </si>
  <si>
    <t>х. Луговой подъезд к клатбищу</t>
  </si>
  <si>
    <t>х. Луговой ул. Рабочая</t>
  </si>
  <si>
    <t>с. Почепское проезд ул. Заречная - ул. Красноармейская</t>
  </si>
  <si>
    <t xml:space="preserve">с. Посепское проезд ул. Красноармейская - с. Тресоруково </t>
  </si>
  <si>
    <t>с. Почепское ул. Полевая</t>
  </si>
  <si>
    <t>с. Почепское проезд ул. Полевая - ул. Чапаева</t>
  </si>
  <si>
    <t>с. Почепское проезд ул. Садовая - ул. Советская</t>
  </si>
  <si>
    <t>с. Почепское проезд ул. Колхозная - ул. Луговая</t>
  </si>
  <si>
    <t>с. Почепское проезд ул. Колхозная - ул. Советская</t>
  </si>
  <si>
    <t>с. Почепское ул. Спортивная</t>
  </si>
  <si>
    <t>с. Ермоловка - х. Луговой</t>
  </si>
  <si>
    <t>с. Почепское - с. Сторожевское Второе</t>
  </si>
  <si>
    <t>с. Дмитриевка - водозабор</t>
  </si>
  <si>
    <t>с. Ермоловка - п. Аношкино</t>
  </si>
  <si>
    <t>с. Ермоловка - пруд</t>
  </si>
  <si>
    <t>с. Почепское - Среднеикорецкое с.п.</t>
  </si>
  <si>
    <t>с. Ермоловка - полевая станция</t>
  </si>
  <si>
    <t xml:space="preserve">пос. с/за 2-я Пятилетка ул. Садовая </t>
  </si>
  <si>
    <t>пос. с/за 2-я Пятилетка ул. Степная</t>
  </si>
  <si>
    <t xml:space="preserve">пос. с/за 2-я Пятилетка ул. Новоселов </t>
  </si>
  <si>
    <t>пос. с/за 2-я Пятилетка проезд ул. Новоселов -  ул. Садовая</t>
  </si>
  <si>
    <t xml:space="preserve">пос. с/за 2-я Пятилетка ул. Свободы </t>
  </si>
  <si>
    <t>пос. с/за 2-я Пятилетка ул. Полевая</t>
  </si>
  <si>
    <t>пос. с/за 2-я Пятилетка ул. Первомайская</t>
  </si>
  <si>
    <t>пос. с/за 2-я Пятилетка ул. Приовражная</t>
  </si>
  <si>
    <t>пос. с/за 2-я Пятилетка ул. Приовражная - ул. Полевая</t>
  </si>
  <si>
    <t>пос. с/за 2-я Пятилетка проезд ул. Свободы - ул. Приовражная</t>
  </si>
  <si>
    <t>пос. с/за 2-я Пятилетка ул. Центральная</t>
  </si>
  <si>
    <t>пос. с/за 2-я Пятилетка ул. Советская</t>
  </si>
  <si>
    <t>пос. с/за 2-я Пятилетка проезд ул. Советская - ул. Садовая</t>
  </si>
  <si>
    <t>пос. с/за 2-я Пятилетка ул. Мира</t>
  </si>
  <si>
    <t xml:space="preserve">пос. с/за 2-я Пятилетка пер. Мира </t>
  </si>
  <si>
    <t xml:space="preserve">пос. с/за 2-я Пятилетка пер. Мира проезд к домам </t>
  </si>
  <si>
    <t xml:space="preserve">пос. с/за 2-я Пятилетка проезд ул. Садовая - пер. Мира </t>
  </si>
  <si>
    <t>пос. с/за 2-я Пятилетка ул. 50 лет Победы</t>
  </si>
  <si>
    <t>пос. с/за 2-я Пятилетка проезд ул. 50 лет Победы - ул. Садовая</t>
  </si>
  <si>
    <t xml:space="preserve">пос. с/за 2-я Пятилетка ул. Молодёжная </t>
  </si>
  <si>
    <t>пос. с/за 2-я Пятилетка проезд ул. Садовая - ул. Молодежная</t>
  </si>
  <si>
    <t>пос. с/за 2-я Пятилетка подъезд к кладбищу</t>
  </si>
  <si>
    <t>пос. с/за 2-я Пятилетка проезд кладбище - ж.д. переезд</t>
  </si>
  <si>
    <t>пос. с/за 2-я Пятилетка - ж.д. переезд</t>
  </si>
  <si>
    <t>пос. с/за 2-я Пятилетка - станция "Придонская"</t>
  </si>
  <si>
    <t>пос. с/за 2-я Пятилетка - 2-е отделение с/за 2-я Пятилетка</t>
  </si>
  <si>
    <t>пос. с/за 2-я Пятилетка - площадка ТБО</t>
  </si>
  <si>
    <t>пос. с/за 2-я Пятилетка подъезд к площадкам по выращиванию бройлеров</t>
  </si>
  <si>
    <t>пос. с/за 2-я Пятилетка - х. Березово</t>
  </si>
  <si>
    <t>х. Березово ул. Рижская</t>
  </si>
  <si>
    <t>х. Березово ул. Дружбы</t>
  </si>
  <si>
    <t>пос. с/за 2-я Пятилетка - Сторожевское с.п.</t>
  </si>
  <si>
    <t>с. Копанище ул. Молодежная</t>
  </si>
  <si>
    <t xml:space="preserve">с. Копанище ул.Лисицына </t>
  </si>
  <si>
    <t xml:space="preserve">с. Копанище ул. Советская </t>
  </si>
  <si>
    <t>с. Копанище ул. Железнодорожная</t>
  </si>
  <si>
    <t>с. Копанище ул. Свобода</t>
  </si>
  <si>
    <t xml:space="preserve">с. Копанище ул. Мира </t>
  </si>
  <si>
    <t>с. Копанище ул.  Приозерная</t>
  </si>
  <si>
    <t>с. Копанище пер. Первомайский</t>
  </si>
  <si>
    <t xml:space="preserve">с. Копанище ул. Луговая </t>
  </si>
  <si>
    <t xml:space="preserve">с. Копанище ул. Сосенка </t>
  </si>
  <si>
    <t>с. Копанище - о. Копанищенское</t>
  </si>
  <si>
    <t>с. Копанище - р. Дон</t>
  </si>
  <si>
    <t>с. Копанищу - о. Стародонье</t>
  </si>
  <si>
    <t>Копанищенское с.п. подъезд к навозохранилищу</t>
  </si>
  <si>
    <t>Копанищенское с.п. подъезд к площадкам по выращиванию бройлеров</t>
  </si>
  <si>
    <t>с. Копанище - Троицкое с.п.</t>
  </si>
  <si>
    <t>с. Копанище - водозабор - полевой стан</t>
  </si>
  <si>
    <t>с. Копанище - Петропавловское с.п.</t>
  </si>
  <si>
    <t>Копанищенское с.п. полевая хозяйственная дорога №1</t>
  </si>
  <si>
    <t>Копанищенское с.п. полевая хозяйственная дорога №2</t>
  </si>
  <si>
    <t>Копанищенское с.п. полевая хозяйственная дорога №3</t>
  </si>
  <si>
    <t xml:space="preserve">Высокинское с.п. Дачный коопиратив полянка </t>
  </si>
  <si>
    <t xml:space="preserve">с. Залужное ул. Никитина </t>
  </si>
  <si>
    <t>с. Залужное подъезд к роднику</t>
  </si>
  <si>
    <t>с. Залужное проезд ул. Никитина - ул. Советская</t>
  </si>
  <si>
    <t xml:space="preserve">с. Залужное ул. Коломыцева </t>
  </si>
  <si>
    <t>с. Залужное 1 пер. Советской</t>
  </si>
  <si>
    <t>с. Залужное 2 пер. Советской</t>
  </si>
  <si>
    <t>с. Залужное 3 пер. Советской</t>
  </si>
  <si>
    <t xml:space="preserve">с. Залужное 4 пер. Советской </t>
  </si>
  <si>
    <t>с. Залужное 5 пер. Советской</t>
  </si>
  <si>
    <t xml:space="preserve">с. Залужное ул. Советская </t>
  </si>
  <si>
    <t>с. Залужное ул. Центральная</t>
  </si>
  <si>
    <t>с. Залужное ул. Октябрьская</t>
  </si>
  <si>
    <t xml:space="preserve">с. Залужное 1 пер. Октябрьской </t>
  </si>
  <si>
    <t>с. Залужное 2 пер. Октябрьской</t>
  </si>
  <si>
    <t>с. Залужное 3 пер. Октябрьской</t>
  </si>
  <si>
    <t xml:space="preserve">с. Залужное 4 пер. Октябрьской </t>
  </si>
  <si>
    <t>с. Залужное ул. Школьная</t>
  </si>
  <si>
    <t>с. Залужное пер. Ленина</t>
  </si>
  <si>
    <t>с. Залужное ул. 30 лет Победы</t>
  </si>
  <si>
    <t>с. Залужное ул. Дружбы</t>
  </si>
  <si>
    <t>с. Залужное ул. Молодежная</t>
  </si>
  <si>
    <t>с. Залужное пер. Мира</t>
  </si>
  <si>
    <t xml:space="preserve">с. Залужное ул. Толстого </t>
  </si>
  <si>
    <t>с. Залужное 1 пер. Гагарина</t>
  </si>
  <si>
    <t>с. Залужное 2 пер. Гагарина</t>
  </si>
  <si>
    <t>с. Залужное 3 пер. Гагарина</t>
  </si>
  <si>
    <t>с. Залужное 4 пер. Гагарина</t>
  </si>
  <si>
    <t xml:space="preserve">с. Залужное ул. Трудовая </t>
  </si>
  <si>
    <t>с. Залужное ул. Садовая</t>
  </si>
  <si>
    <t>с. Залужное ул. Солнечная</t>
  </si>
  <si>
    <t>с. Залужное ул. Полевая</t>
  </si>
  <si>
    <t>с. Залужное 1 пер. Полевой</t>
  </si>
  <si>
    <t>с. Залужное 2 пер. Полевой</t>
  </si>
  <si>
    <t>с. Залужное 3 пер. Полевой</t>
  </si>
  <si>
    <t>с. Залужное 4 пер. Полевой</t>
  </si>
  <si>
    <t>с. Залужное 5 пер. Полевой</t>
  </si>
  <si>
    <t>с. Залужное 6 пер. Полевой</t>
  </si>
  <si>
    <t>с. Залужное 7 пер. Полевой</t>
  </si>
  <si>
    <t>с. Лиски проезд ул. Октябрьская - храм</t>
  </si>
  <si>
    <t>с. Залужное подъезд к кладбищу</t>
  </si>
  <si>
    <t>с. Лиски ул. Октябрьская</t>
  </si>
  <si>
    <t>с. Лиски проезд ул. Октябрьская - ул. Нагорная</t>
  </si>
  <si>
    <t xml:space="preserve">с. Лиски ул. Нагорная </t>
  </si>
  <si>
    <t>с. Лиски проезд ул. Зеленая - родник</t>
  </si>
  <si>
    <t xml:space="preserve">с. Лиски ул. Ленина </t>
  </si>
  <si>
    <t>с. Лиски проезд ул. Ленина - ферма</t>
  </si>
  <si>
    <t>с. Лиски проезд ул. Ленина - кладбище</t>
  </si>
  <si>
    <t xml:space="preserve">с. Лиски ул. Советская </t>
  </si>
  <si>
    <t>с. Лиски проезд ул. Советская - родник</t>
  </si>
  <si>
    <t>с. Лиски проезд ул. 1 Мая - ул. Советская</t>
  </si>
  <si>
    <t xml:space="preserve">с. Лиски ул. 1 Мая </t>
  </si>
  <si>
    <t xml:space="preserve">с. Лиски ул. Мира </t>
  </si>
  <si>
    <t>с. Лиски проезд ул. Мира - ул. Советская</t>
  </si>
  <si>
    <t>с. Лиски проезд ул. Советская - кладбище</t>
  </si>
  <si>
    <t>с. Лиски ул. Комсомольская</t>
  </si>
  <si>
    <t>с. Лиски - откосинский меловой карьер</t>
  </si>
  <si>
    <t>с. Лиски подъездная дорога к ул. Пролетарская</t>
  </si>
  <si>
    <t>с. Лиски ул. Пролетарская</t>
  </si>
  <si>
    <t>с. Лиски ул. Красных Зорь</t>
  </si>
  <si>
    <t>с. Лиски проезд ул. Красных Зорь - кладбище</t>
  </si>
  <si>
    <t>с. Лиски подъездная дорога к ул. Красных Зорь</t>
  </si>
  <si>
    <t>х. Никольский ул. Есенина</t>
  </si>
  <si>
    <t>х. Никольский ул. Степная</t>
  </si>
  <si>
    <t xml:space="preserve">х. Никольский пер. Степной </t>
  </si>
  <si>
    <t>х. Никольский проезд ул. Степная - ул. Есенина</t>
  </si>
  <si>
    <t>х. Никольский проезд ул. Есенина - ул. Школьная</t>
  </si>
  <si>
    <t>х. Никольский ул. Школьная</t>
  </si>
  <si>
    <t>х. Никольский ул. Кирова</t>
  </si>
  <si>
    <t>х. Никольский ул. Холмистая</t>
  </si>
  <si>
    <t>х. Никольский пер. Чехова</t>
  </si>
  <si>
    <t>х. Никольский ул. Чехова</t>
  </si>
  <si>
    <t>х. Никольский подъездная дорога к водозабору</t>
  </si>
  <si>
    <t>с. Залужное - пантонный мост</t>
  </si>
  <si>
    <t>с. Залужное подъезд к пристани</t>
  </si>
  <si>
    <t>с. Залужное - СТ "Тихий Дон"</t>
  </si>
  <si>
    <t xml:space="preserve">с. Залужное автомобильная дорога СТ "Тихий Дон" </t>
  </si>
  <si>
    <t>с. Залужное подъезд к базе ООО "ЭкоНиваАгро"</t>
  </si>
  <si>
    <t>Подъезд к кладбищу х. Никольский</t>
  </si>
  <si>
    <t xml:space="preserve">х. Никольский автомобильная дорога СТ "Никольское" </t>
  </si>
  <si>
    <t>Автомобильная дорога Лиски-Залужное-Колыбелка - СТ "Никольский"</t>
  </si>
  <si>
    <t>х. Никольский проезд пер. Степной - ул. Кирова</t>
  </si>
  <si>
    <t>х. Никольский подъзд к ферме</t>
  </si>
  <si>
    <t>с. Залужное проезд ул. Полевая - комплекс КРС</t>
  </si>
  <si>
    <t>с. Лиски подъездная дорога к свиноферме</t>
  </si>
  <si>
    <t>с. Лиски - О.П. 154 км. "Шатрище"</t>
  </si>
  <si>
    <t>с. Лиски - О.П. 156 км.</t>
  </si>
  <si>
    <t>с. Лиски - х. Вязники</t>
  </si>
  <si>
    <t>с. Лиски - с. Ковалево</t>
  </si>
  <si>
    <t>с. Лиски - Коломыцевское с.п.</t>
  </si>
  <si>
    <t>с. Лиски проезд ул. Зеленая - ул. Ленина</t>
  </si>
  <si>
    <t xml:space="preserve">с. Лиски ул. Зеленая </t>
  </si>
  <si>
    <t>с. Коломыцево ул. Юбилейная</t>
  </si>
  <si>
    <t>с. Коломыцево ул. Виноградная</t>
  </si>
  <si>
    <t xml:space="preserve">с. Коломыцево ул. Полевая </t>
  </si>
  <si>
    <t>с. Коломыцево проезд ул. Полевая - ул. Мичурина</t>
  </si>
  <si>
    <t xml:space="preserve">с. Коломыцево ул. Луговая </t>
  </si>
  <si>
    <t xml:space="preserve">с. Коломыцево ул. Мичурина </t>
  </si>
  <si>
    <t>с. Коломыцево ул. Первомайская</t>
  </si>
  <si>
    <t>с. Коломыцево ул. Солнечная</t>
  </si>
  <si>
    <t>с. Коломыцево подъезд к церкви</t>
  </si>
  <si>
    <t>с. Коломыцево проезд ул. Солнечная - ул. Кольцова</t>
  </si>
  <si>
    <t>с. Коломыцево ул. Кольцова</t>
  </si>
  <si>
    <t xml:space="preserve">с. Коломыцево ул. Гагарина </t>
  </si>
  <si>
    <t>с. Коломыцево ул. Колхозная</t>
  </si>
  <si>
    <t xml:space="preserve">с. Коломыцево ул. Молодёжная </t>
  </si>
  <si>
    <t>х. Попасное ул. Новоселов</t>
  </si>
  <si>
    <t>х.Попасное ул. Рылеева</t>
  </si>
  <si>
    <t>х. Попасное пер. Рылеева</t>
  </si>
  <si>
    <t>х. Попасное ул. Лесная</t>
  </si>
  <si>
    <t xml:space="preserve">х. Попасное ул. Мичурина </t>
  </si>
  <si>
    <t>х. Попасное ул. Пушкина</t>
  </si>
  <si>
    <t xml:space="preserve">х. Попасное ул. Овражная </t>
  </si>
  <si>
    <t>х. Попасное пер. Центральный</t>
  </si>
  <si>
    <t>х. Попасное ул. Центрпльная</t>
  </si>
  <si>
    <t>х. Попасное ул.Пушкина - подъезд к клатбищу</t>
  </si>
  <si>
    <t>х. Попасное ул. Рылеева - подъезд к клатбищу</t>
  </si>
  <si>
    <t>х. Попасное пер. Центральный - ОТФ</t>
  </si>
  <si>
    <t>х. Попасное пер. Центральный - Пруд</t>
  </si>
  <si>
    <t>х. Попасное - х. Красная Заря</t>
  </si>
  <si>
    <t>х. Попасное - подъезд к площадке ТБО</t>
  </si>
  <si>
    <t>с. Коломыцево проезд ул. 8 марта - колхозный сад</t>
  </si>
  <si>
    <t>с. Коломыцево - подъезд к площадке ТБО</t>
  </si>
  <si>
    <t>Обход с. Коломыцево</t>
  </si>
  <si>
    <t>с. Коломыцево - подъезд к МТФ</t>
  </si>
  <si>
    <t>с. Коломыцево ул. Виноградная - подъезд к пруду</t>
  </si>
  <si>
    <t>с. Коломыцево ул. Виноградная - автодорога Лиски-Залужное-Колыбелка</t>
  </si>
  <si>
    <t>с. Коломыцево - подъезд к клатбищу х. Красная Заря</t>
  </si>
  <si>
    <t>с. Коломыцево - Каменский м.р.</t>
  </si>
  <si>
    <t>с. Коломыцево - с. Лиски</t>
  </si>
  <si>
    <t>с. Коломыцево ул. 8 Марта</t>
  </si>
  <si>
    <t>с. Средний Икорец ул. Ленина</t>
  </si>
  <si>
    <t>с. Средний Икорец ул. Нагорная</t>
  </si>
  <si>
    <t>с. Средний Икорец ул. Ключевая</t>
  </si>
  <si>
    <t>с. Средний Икорец проезд ул. Ленина - ул. Ключевая</t>
  </si>
  <si>
    <t>с. Средний Икорец подъезд к коровнику</t>
  </si>
  <si>
    <t>с. Средний Икорец проезд ул. Ленина - площадка ТБО</t>
  </si>
  <si>
    <t>с. Средний Икорец проезд ул. Ключевая - Пролетарская</t>
  </si>
  <si>
    <t xml:space="preserve">с. Средний Икорец пл. Кирова </t>
  </si>
  <si>
    <t>с. Средний Икорец подъезд к ферме</t>
  </si>
  <si>
    <t>с. Средний Икорец подъезд к площадке ТБО</t>
  </si>
  <si>
    <t>с. Средний Икорец ул. 50 лет Победы</t>
  </si>
  <si>
    <t>с. Средний Икорец ул. Свободы</t>
  </si>
  <si>
    <t>с. Средний Икорец проезд ул. Свободы - ул. Дорожная</t>
  </si>
  <si>
    <t>с. Средний Икорец проезд ул. Гагарина - ул. Свободы</t>
  </si>
  <si>
    <t>с. Средний Икорец ул. Юбилейная</t>
  </si>
  <si>
    <t>с. Средний Икорец ул. Гагарина</t>
  </si>
  <si>
    <t xml:space="preserve">с. Средний Икорец ул. Мичурина </t>
  </si>
  <si>
    <t>с. Средний Икорец ул. Полевая</t>
  </si>
  <si>
    <t>с. Средний Икорец ул. Молодежная</t>
  </si>
  <si>
    <t>с. Средний Икорец ул. пл. Революции</t>
  </si>
  <si>
    <t>с. Средний Икорец ул. М. Горького - ул. Ленина</t>
  </si>
  <si>
    <t>с. Средний Икорец ул. М. Горького</t>
  </si>
  <si>
    <t>с. Средний Икорец проезд ул. Пролетарская - ул. Ленина</t>
  </si>
  <si>
    <t>с. Средний Икорец ул. Пролетарская</t>
  </si>
  <si>
    <t>с. Средний Икорец ул. Пролетарская - р. Икорец</t>
  </si>
  <si>
    <t>с. Средний Икорец ул. Шмидта</t>
  </si>
  <si>
    <t>с. Средний Икорец ул. Буденного</t>
  </si>
  <si>
    <t>с. Средний Икорец ул. Буденного - р. Икорец</t>
  </si>
  <si>
    <t>с. Средний Икорец проезд ул. Буденного - ул. 50 лет Октября</t>
  </si>
  <si>
    <t>с. Средний Икорец проезд ул. Мира - ул. Буденного</t>
  </si>
  <si>
    <t>с. Средний Икорец ул. Заречная - автодорога М4 "Дон" - Лиски</t>
  </si>
  <si>
    <t>с. Средний Икорец ул. Семеновой</t>
  </si>
  <si>
    <t>с. Средний Икорец ул. Яблочкина</t>
  </si>
  <si>
    <t>с. Средний Икорец ул. Советская</t>
  </si>
  <si>
    <t>с. Средний Икорец ул. Садовая</t>
  </si>
  <si>
    <t>с. Средний Икорец ул. 30 лет Победы</t>
  </si>
  <si>
    <t>с. Средний Икорец ул. Заречная</t>
  </si>
  <si>
    <t xml:space="preserve">с. Средний Икорец ул. Вокзальная </t>
  </si>
  <si>
    <t>с. Средний Икорец проезд ул. 50 лет Октября - ул. Вокзальная</t>
  </si>
  <si>
    <t>с. Средний Икорец ул. 50 лет Октября</t>
  </si>
  <si>
    <t>с. Средний Икорец ул. 50 лет Октября - мост</t>
  </si>
  <si>
    <t>с. Средний Икорец ул. 50 лет Октября - пляж</t>
  </si>
  <si>
    <t>с. Средний Икорец ул. Зеленая</t>
  </si>
  <si>
    <t>с. Средний Икорец ул. Линейная</t>
  </si>
  <si>
    <t>с. Песковатка ул. Комсомольская</t>
  </si>
  <si>
    <t>с. Песковатка ул. Мира</t>
  </si>
  <si>
    <t>с. Песковатка проезд ул. Мира - ул. Школьная</t>
  </si>
  <si>
    <t>с. Песковатка ул. Школьная</t>
  </si>
  <si>
    <t>с. Песковатка ул. Свободы</t>
  </si>
  <si>
    <t>с. Песковатка ул. Луговая</t>
  </si>
  <si>
    <t>с. Песковатка ул. Свободы - ж.д. мост</t>
  </si>
  <si>
    <t>с. Песковатка проезд ул. Школьная - ул. Свободы</t>
  </si>
  <si>
    <t>с. Песковатка - р. Икорец</t>
  </si>
  <si>
    <t>Среднеикорецкое с.п. автодорога п. Среднеикорецкой больницы</t>
  </si>
  <si>
    <t>Подъездная автомобильная дорога к ДОЛ "Золотой Колос"</t>
  </si>
  <si>
    <t>п. Санатория им. Цюрупы ул. Солнечная</t>
  </si>
  <si>
    <t>п. Санатория им. Цюрупы ул. Лесная</t>
  </si>
  <si>
    <t>п. Санатория им. Цюрупы ул. Цветочная</t>
  </si>
  <si>
    <t>п. Санатория им. Цюрупы - купальня детского лагеря</t>
  </si>
  <si>
    <t>п. Санатория им. Цюрупы - родник</t>
  </si>
  <si>
    <t>п. подсобного хозяйства санатория им. Цюрупы ул. Центральная</t>
  </si>
  <si>
    <t>п. подсобного хозяйства санатория им. Цюрупы ул. Садовая</t>
  </si>
  <si>
    <t>п. подсобного хозяйства санатория им. Цюрупы ул. Победы</t>
  </si>
  <si>
    <t>п. подсобного хозяйства санатория им. Цюрупы ул. Парковая</t>
  </si>
  <si>
    <t>п. подсобного хозяйства санатория им. Цюрупы пер. Майский</t>
  </si>
  <si>
    <t>п. подсобного хозяйства санатория им. Цюрупы - пруд</t>
  </si>
  <si>
    <t>п. подсобного хозяйства санатория им. Цюрупы - х. Солонцы</t>
  </si>
  <si>
    <t>Автомобильная дорога х. Дубовый</t>
  </si>
  <si>
    <t>Автодорога М-4 "Дон" - с. Сторожевское Второе</t>
  </si>
  <si>
    <t>М4 "Дон" - тракторный отряд - Сторожевское с.п.</t>
  </si>
  <si>
    <t>х. Дубовый - Краснознаменское с.п.</t>
  </si>
  <si>
    <t>п. подсобного хозяйства санатория им. Цюрупы - Петропавловское с.п.</t>
  </si>
  <si>
    <t>с. Колыбелка ул. Г. Шевцова</t>
  </si>
  <si>
    <t>с. Колыбелка ул. Садовая</t>
  </si>
  <si>
    <t xml:space="preserve">с. Колыбелка ул. Юбилейная </t>
  </si>
  <si>
    <t xml:space="preserve">с. Колыбелка ул. 1 Мая </t>
  </si>
  <si>
    <t>с. Колыбелка ул. Мира</t>
  </si>
  <si>
    <t>с. Колыбелка пер. Мира</t>
  </si>
  <si>
    <t>с. Колыбелка ул.Советская</t>
  </si>
  <si>
    <t>с. Колыбелка ул. Лесная</t>
  </si>
  <si>
    <t>с. Колыбелка пер. Лесной</t>
  </si>
  <si>
    <t>с. Колыбелка - с. Переезжее</t>
  </si>
  <si>
    <t>с. Колыбелка - х. Новая Грань</t>
  </si>
  <si>
    <t>Автомобильная дорога х. Свобода</t>
  </si>
  <si>
    <t>х. Свобода - с. Козки</t>
  </si>
  <si>
    <t>Автомобильная Дорога Лиски - Колыбелка - подъезд к р. Дон</t>
  </si>
  <si>
    <t>с. Колыбелка проезд ул. Г. Шевцова - ул. Садовая</t>
  </si>
  <si>
    <t>с. Колыбелка подъезд к комплексу КРС</t>
  </si>
  <si>
    <t>с. Пухово ул. Садовая</t>
  </si>
  <si>
    <t>с. Пухово ул. Дорожная</t>
  </si>
  <si>
    <t xml:space="preserve">с. Пухово ул. Мичурина </t>
  </si>
  <si>
    <t>с. Пухово ул. Мира</t>
  </si>
  <si>
    <t>с. Пухово ул. Молодежная</t>
  </si>
  <si>
    <t xml:space="preserve">с. Пухово ул. Школьная </t>
  </si>
  <si>
    <t>с. Пухово проезд ул. Молодежная - ул. Школьная</t>
  </si>
  <si>
    <t xml:space="preserve">с. Пухово пер. Советский </t>
  </si>
  <si>
    <t xml:space="preserve">с. Пухово пер. Первомайский </t>
  </si>
  <si>
    <t>с. Пухово ул. Центральная</t>
  </si>
  <si>
    <t>с. Пухово ул. Новоселов</t>
  </si>
  <si>
    <t>с. Пухово ул. Железнодорожная</t>
  </si>
  <si>
    <t>с. Ковалево дорога к клатбищу</t>
  </si>
  <si>
    <t>с. Ковалево ул. Есенина</t>
  </si>
  <si>
    <t>с. Ковалево ул. Солнечная</t>
  </si>
  <si>
    <t xml:space="preserve">с. Ковалево ул. Полевая </t>
  </si>
  <si>
    <t xml:space="preserve">с. Ковалево ул. Виноградная </t>
  </si>
  <si>
    <t>с. Ковалево ул. Молодежная</t>
  </si>
  <si>
    <t>с. Ковалево ул. Юбилейная</t>
  </si>
  <si>
    <t>с. Ковалево ул. Ленина - ул. Молодежная</t>
  </si>
  <si>
    <t>с. Ковалево 3 пер. Ленина</t>
  </si>
  <si>
    <t xml:space="preserve">с. Ковалево ул. Советская </t>
  </si>
  <si>
    <t>с. Ковалево 2 пер. Ленина</t>
  </si>
  <si>
    <t>с. Ковалево проезд ул. Советская - ул. Широкова</t>
  </si>
  <si>
    <t>с. Ковалево 1 пер. Ленина</t>
  </si>
  <si>
    <t>с. Ковалево ул. Школьная</t>
  </si>
  <si>
    <t>с. Ковалево ул. Широкова</t>
  </si>
  <si>
    <t>с. Ковалево ул. Мичурина</t>
  </si>
  <si>
    <t xml:space="preserve">с. Ковалево ул. Садовая </t>
  </si>
  <si>
    <t>с. Ковалево ул. Гагарина</t>
  </si>
  <si>
    <t>с. Ковалево ул. Победы</t>
  </si>
  <si>
    <t>с. Ковалево ул. Мира</t>
  </si>
  <si>
    <t>х. Шепелев ул. Свободы</t>
  </si>
  <si>
    <t xml:space="preserve">х. Путчино ул. Мира </t>
  </si>
  <si>
    <t>х. Путчино ул. Кленовая</t>
  </si>
  <si>
    <t>х. Путчино ул. Советская</t>
  </si>
  <si>
    <t xml:space="preserve">х. Путчино ул. Пушкина </t>
  </si>
  <si>
    <t>х. Демченков подъезд к ферме КРС</t>
  </si>
  <si>
    <t xml:space="preserve">х. Демченков ул. Мира </t>
  </si>
  <si>
    <t xml:space="preserve">с. Мелахино ул. Черемушки </t>
  </si>
  <si>
    <t xml:space="preserve">с. Мелахино ул. Вишневая </t>
  </si>
  <si>
    <t>с. Миссево ул. Ветеранов</t>
  </si>
  <si>
    <t>с. Духовое ул. Г. Грибкова</t>
  </si>
  <si>
    <t>с. Духовое ул.Придонская</t>
  </si>
  <si>
    <t>с. Духовое пер. 1-й Придонской</t>
  </si>
  <si>
    <t>с. Духовое пер. 2-й Придонской</t>
  </si>
  <si>
    <t>с. Духовое пер. 3-й Придонской</t>
  </si>
  <si>
    <t>с. Николаевка ул. Первомайская</t>
  </si>
  <si>
    <t xml:space="preserve">с. Николаевка ул. Лесная </t>
  </si>
  <si>
    <t>с. Николаевка подъездная автомобильная дорога к овцеферме</t>
  </si>
  <si>
    <t xml:space="preserve">Автомобильная дорога п. Донское Лесничество </t>
  </si>
  <si>
    <t>с. Петропавловка ул. Л. Федодеевой</t>
  </si>
  <si>
    <t>с. Петропавловка ул. Ленина</t>
  </si>
  <si>
    <t xml:space="preserve">с. Петропавловка ул. 50 лет Правды </t>
  </si>
  <si>
    <t xml:space="preserve">с. Петропавловка ул. Центральная </t>
  </si>
  <si>
    <t>с. Петропавловка ул. С. Кубышкина</t>
  </si>
  <si>
    <t>с. Петропавловка ул.Колхозная</t>
  </si>
  <si>
    <t>с. Петропавловка ул.Советская</t>
  </si>
  <si>
    <t>с. Петропавловка проезд ул.Колхозная - ул. Центральная</t>
  </si>
  <si>
    <t>с. Петропавловка ул. Степная</t>
  </si>
  <si>
    <t>с. Петропавловка ул. Южная</t>
  </si>
  <si>
    <t xml:space="preserve">с. Петропавловка ул.Молодежная </t>
  </si>
  <si>
    <t>с. Владимировка ул. Подгорная</t>
  </si>
  <si>
    <t>с. Николаевка проезд ул. Подгорная - ул. Садовая</t>
  </si>
  <si>
    <t xml:space="preserve">с. Владимировка ул. Чапаева </t>
  </si>
  <si>
    <t>с. Вадимировка - площадка ТБО</t>
  </si>
  <si>
    <t>с. Владимировка ул. Мира</t>
  </si>
  <si>
    <t>с. Владимировка ул. Гагарина</t>
  </si>
  <si>
    <t>с. Владимировка ул. Садовая</t>
  </si>
  <si>
    <t xml:space="preserve">с. Владимировка ул. Новый свет </t>
  </si>
  <si>
    <t xml:space="preserve">с. Владимировка ул. Молодежная </t>
  </si>
  <si>
    <t xml:space="preserve">с. Владимировка ул. Тамбовская </t>
  </si>
  <si>
    <t>с. Вадимировка подъездная автомобильная дорога к комплексу КРС</t>
  </si>
  <si>
    <t xml:space="preserve">х. Прияр ул. Коммунистическая </t>
  </si>
  <si>
    <t xml:space="preserve">х. Прияр ул. Донская </t>
  </si>
  <si>
    <t>с. Духовое - Тракторный отряд - Автодорога М4 "Дон"</t>
  </si>
  <si>
    <t>с. Петропавловка - пруд "Петропавловский"</t>
  </si>
  <si>
    <t>с. Петропавловка подъездная автомобильнаяя дорога к комплексу КРС</t>
  </si>
  <si>
    <t>с. Владимировка - песчаный карьер</t>
  </si>
  <si>
    <t>х. Прияр - с. Максимово</t>
  </si>
  <si>
    <t>х. Прияр - х. Новомаксимово</t>
  </si>
  <si>
    <t>х. Прияр - о. Красное</t>
  </si>
  <si>
    <t>х. Прияр - о. Глубокое</t>
  </si>
  <si>
    <t>х. Прияр - р. Дон</t>
  </si>
  <si>
    <t>с. Владимировка - с. Шестаково</t>
  </si>
  <si>
    <t>с. Владимировка - пруд</t>
  </si>
  <si>
    <t>с. Николаевка - пруд "Петропавловский"</t>
  </si>
  <si>
    <t>с. Селявное ул. Донская</t>
  </si>
  <si>
    <t xml:space="preserve">с. Селявное ул. Школьная </t>
  </si>
  <si>
    <t>с. Селявное ул. Привокзальная</t>
  </si>
  <si>
    <t>с. Селявное 1-й пер. Железнодорожной</t>
  </si>
  <si>
    <t>с. Селявное 2-й пер. Железгнодорожной</t>
  </si>
  <si>
    <t>с. Селявное ул. Солнечная</t>
  </si>
  <si>
    <t>с. Селявное ул. Трудовая</t>
  </si>
  <si>
    <t>с. Селявное проезд ул. Заводская - ул. Привокзальная</t>
  </si>
  <si>
    <t>с. Селявное ул. Заводская</t>
  </si>
  <si>
    <t>с. Селявное ул. Первомайская</t>
  </si>
  <si>
    <t>с. Селявное ул. 9 Мая</t>
  </si>
  <si>
    <t>с. Селявное ул. Советская</t>
  </si>
  <si>
    <t>с. Селявное ул. Советская - ул. Нагорная</t>
  </si>
  <si>
    <t>с. Селявное ул. Нагорная</t>
  </si>
  <si>
    <t>с. Селявное ул. Меловая</t>
  </si>
  <si>
    <t>с. Селявное проезд ул. Нагорная - ул. Донская</t>
  </si>
  <si>
    <t>с. Селявное ул. Лесная</t>
  </si>
  <si>
    <t>с. Селявное ул. Полевая</t>
  </si>
  <si>
    <t>х. Дивногорье ул. Центральная</t>
  </si>
  <si>
    <t>х. Дивногорье ул. Луговая</t>
  </si>
  <si>
    <t>х. Дивногорье пер. Лесной</t>
  </si>
  <si>
    <t xml:space="preserve">х. Дивногорье ул. Мира </t>
  </si>
  <si>
    <t>х. Дивногорье ул. Подгорная</t>
  </si>
  <si>
    <t>х. Дивногрье пер. Дивный</t>
  </si>
  <si>
    <t>с. Селявное - меловой карьер</t>
  </si>
  <si>
    <t>с. Селявное - х. Вязники</t>
  </si>
  <si>
    <t>х. Вязники ул. Вишневая</t>
  </si>
  <si>
    <t>х. Вязники - откосинский карьер</t>
  </si>
  <si>
    <t>Автомобильная дорога СТ "Вязники"</t>
  </si>
  <si>
    <t>х. Вязники - СТ "Вязники"</t>
  </si>
  <si>
    <t>х. Вязники - меловой карьер</t>
  </si>
  <si>
    <t>х. Вязники - с. Лиски</t>
  </si>
  <si>
    <t>с. Селявное - х. Дивногорье</t>
  </si>
  <si>
    <t>Дивногорский Монастырь - х. Дивногорье</t>
  </si>
  <si>
    <t>с. Селявное - Дивногорский Монастырь</t>
  </si>
  <si>
    <t>Подъездная автомобильная дорога к Дивногорскому Монастырю</t>
  </si>
  <si>
    <t>х. Дивногорье пер. Лесной - Автодорога Ковалево - Селявное</t>
  </si>
  <si>
    <t>Селявинское с.п. Автомобильная дорога Ковалево - Селявное - Тракторный отряд</t>
  </si>
  <si>
    <t>Бодеевское сельское поселение</t>
  </si>
  <si>
    <t>Ширина проезжей части</t>
  </si>
  <si>
    <t>с. Бодеевка проезд ул. Советская - ул. Мигенева</t>
  </si>
  <si>
    <t>с. Бодеевка проезд ул. Советская - ул. Школьная</t>
  </si>
  <si>
    <t>с. Высокое проезд ж.д. вокзал-ул. Новая</t>
  </si>
  <si>
    <t>с. Высокое проезд ж.д. переезд - ул. Ленина</t>
  </si>
  <si>
    <t>с. Высокое проезд ул. Придорожная - автодорога Лиски-Давыдовка</t>
  </si>
  <si>
    <t xml:space="preserve">с. Высокое проезд ул. Придорожная-ул. Степная </t>
  </si>
  <si>
    <t>с. Высокое проезд ул. Гагарина - автодорога Лиски-Давыдовка</t>
  </si>
  <si>
    <t>с. Высокое проезд ул. Садовая-ул. Мира</t>
  </si>
  <si>
    <t>с. Высокое проезд ул. Советская-ул. Молодежная - ул. Ленина</t>
  </si>
  <si>
    <t xml:space="preserve">х. Подлесный ул. Приовражная </t>
  </si>
  <si>
    <t xml:space="preserve">х. Подлесный ул. Колхозная </t>
  </si>
  <si>
    <t>х. Подлесный проезд ул. Дачная - ул. Вишневая</t>
  </si>
  <si>
    <t>с. Высокое проезд ул. Березовая-ул. Придорожная</t>
  </si>
  <si>
    <t>х. Подлесный проезд ул. Приовражная - ул. Абрикосовая</t>
  </si>
  <si>
    <t>х. Подлесный проезд ул. Рабочая-ул. Солнечная</t>
  </si>
  <si>
    <t>х. Подлесный проезд ул. Придорохная - ул. Мира</t>
  </si>
  <si>
    <t>х. Подлесный 2 пер. Сосновой</t>
  </si>
  <si>
    <t>переулок</t>
  </si>
  <si>
    <t>Высокинское сельское поселение</t>
  </si>
  <si>
    <t>с. Высокое проезд ул. Придорожная - ул. 50 лет Победы</t>
  </si>
  <si>
    <t>х. Путчино - с. Пухово</t>
  </si>
  <si>
    <t>с. Ковалево - с. Лиски</t>
  </si>
  <si>
    <t>х. Шепелев - с. Мелахино</t>
  </si>
  <si>
    <t>с. Мелахино - х. Щербаково</t>
  </si>
  <si>
    <t>х. Старая Покровка - р. Дон</t>
  </si>
  <si>
    <t>Высокинское с.п. полевая хозяйственная дорога №1</t>
  </si>
  <si>
    <t>х. Никольский - с. Щучье</t>
  </si>
  <si>
    <t>с. Коломыцево - с. Петровское</t>
  </si>
  <si>
    <t>Нижнеикорецкое с.п. полевая хозяйственная дорога №2</t>
  </si>
  <si>
    <t>Нижнеикорецкое с.п. полевая хозяйственная дорога №3</t>
  </si>
  <si>
    <t>Сторожевское с.п. Полевая хозяйственная дорога №4</t>
  </si>
  <si>
    <t>Тресоруковское с.п. полевая хозяйственная дорога №1</t>
  </si>
  <si>
    <t>Тресоруковское с.п. полевая хозяйственная дорога №2</t>
  </si>
  <si>
    <t>Тресоруковское с.п. полевая хозяйственная дорога №3</t>
  </si>
  <si>
    <t>Высокинское с.п. полевая хозяйственная дорога №2</t>
  </si>
  <si>
    <t>Степнянское с.п. полевая хозяйственная дорога №1</t>
  </si>
  <si>
    <t>Тресоруковское с.п. полевая хозяйственная дорога №4</t>
  </si>
  <si>
    <t>Комплекс КРС с. Щучье - комплекс КРС х. Новая грань</t>
  </si>
  <si>
    <t>с. Щучье - граница Залужинского с.п.</t>
  </si>
  <si>
    <t>Щучинское с.п. Полевая хозяйственная дорога №1</t>
  </si>
  <si>
    <t>Автобильная дорога Лиски - Залужное - Колыбелка -пруд</t>
  </si>
  <si>
    <t>Залужинское с.п. полевая хозяйственная дорога №1</t>
  </si>
  <si>
    <t>с. Дракино проезд ул. Полевая - ул. Е. Боброва</t>
  </si>
  <si>
    <t>с. Дракино проезд ул. Полевая-ул. Ленинградская</t>
  </si>
  <si>
    <t>с. Дракино проезд ул. Солнечная - АГЗС</t>
  </si>
  <si>
    <t>с. Дракино проезд ул. Пушкинская - ул. Солнечная</t>
  </si>
  <si>
    <t>с. Дракино проезд ул. Мира - ул. Ленина</t>
  </si>
  <si>
    <t>с. Дракино проезд ул. Молодежная - ул. Мира</t>
  </si>
  <si>
    <t>с. Дракино проезд ул. Молодежная - ул. Полевая</t>
  </si>
  <si>
    <t>с. Дракино проезд ул. Молодежная - ул. Мира 1</t>
  </si>
  <si>
    <t>с. Дракино проезд ул. Молодежная-ул. Мира 2</t>
  </si>
  <si>
    <t>с. Дракино проезд ул. Мира - ул. Ленина 1</t>
  </si>
  <si>
    <t>с. Дракино проезд ул. Мира - ул. Ленина 2</t>
  </si>
  <si>
    <t>с. Дракино проезд ул. Советская-ул. 20 лет Октября 1</t>
  </si>
  <si>
    <t>с. Дракино проезд ул. Советская-ул. 20 лет Октября 2</t>
  </si>
  <si>
    <t>Дракинское с.п. Полевая Дорога №7</t>
  </si>
  <si>
    <t>с. Дракино проезд ул. Мичурина - ул. Ленина</t>
  </si>
  <si>
    <t>с. Дракино проезд ул. Мичурина - луг</t>
  </si>
  <si>
    <t>Дракинское сельское поселение</t>
  </si>
  <si>
    <t>Залужинское сельское поселение</t>
  </si>
  <si>
    <t>Ковалевское сельское поселение</t>
  </si>
  <si>
    <t>с. Коломыцево проезд ул. Молодёжная - ул. Колхозная</t>
  </si>
  <si>
    <t>Коломыцевское сельское поселение</t>
  </si>
  <si>
    <t>с. Колыбелка проезд ул. Г. Шевцова - кладбище</t>
  </si>
  <si>
    <t>с. Колыбелка проезд ул. Садовая - мех. Мастерская</t>
  </si>
  <si>
    <t>с. Колыбелка проезд ул.Мира - о. Кривое</t>
  </si>
  <si>
    <t>с. Колыбелка проезд ул. Лесная - Родник</t>
  </si>
  <si>
    <t>с. Колыбелка проезд ул. Г. Шевцова - пруд</t>
  </si>
  <si>
    <t>Колыбельское сельское поселение</t>
  </si>
  <si>
    <t>Копанищенское сельское поселение</t>
  </si>
  <si>
    <t xml:space="preserve">Общая протяженность дорог - всего, км </t>
  </si>
  <si>
    <t>Краснознаменское сельское поселение</t>
  </si>
  <si>
    <t>Нижнеикорецкое сельское поселение</t>
  </si>
  <si>
    <t>с. Нижний Икорец проезд ул. Суворова - ул. Победы</t>
  </si>
  <si>
    <t>Петровское сельское поселение</t>
  </si>
  <si>
    <t>Подъездная автомобильная дорога к х. Новая Грань</t>
  </si>
  <si>
    <t>Петропавловское сельское поселение</t>
  </si>
  <si>
    <t>Почепское сельское поселение</t>
  </si>
  <si>
    <t>Селявинское сельское поселение</t>
  </si>
  <si>
    <t>Среднеикорецкое сельское поселение</t>
  </si>
  <si>
    <t>Старохворостанское сельское поселение</t>
  </si>
  <si>
    <t>с. Селявное 2-е проезд ул. Подгорная - ул. Советская</t>
  </si>
  <si>
    <t>Степнянское сельское поселение</t>
  </si>
  <si>
    <t>пос. с/за 2-я Пятилетка ул. Зеленая</t>
  </si>
  <si>
    <t>Ширина проезжей част</t>
  </si>
  <si>
    <t>Сторожевское второе сельское поселение</t>
  </si>
  <si>
    <t>Тресоруковское сельское поселение</t>
  </si>
  <si>
    <t>с. Тресоруково проезд ул. Красноармейская - ул. Мира</t>
  </si>
  <si>
    <t>с. Нижнепарьино подъезд к кладбищу</t>
  </si>
  <si>
    <t>Ширина проезжей чати</t>
  </si>
  <si>
    <t>Троицкое сельское поселение</t>
  </si>
  <si>
    <t>Щучинское сельское поселение</t>
  </si>
  <si>
    <t>V</t>
  </si>
  <si>
    <t>Бодеевское с.п.</t>
  </si>
  <si>
    <t>Высокинское с.п.</t>
  </si>
  <si>
    <t>Дракинское с.п.</t>
  </si>
  <si>
    <t>Залужинское с.п.</t>
  </si>
  <si>
    <t>Ковалевское с.п.</t>
  </si>
  <si>
    <t>Коломыцевское с.п.</t>
  </si>
  <si>
    <t>Колыбельское с.п.</t>
  </si>
  <si>
    <t>Копанищенское с.п.</t>
  </si>
  <si>
    <t>Краснознаменское с.п.</t>
  </si>
  <si>
    <t>Нижнеикорецкое с.п.</t>
  </si>
  <si>
    <t>Петровское с.п.</t>
  </si>
  <si>
    <t>Петропавловское с.п.</t>
  </si>
  <si>
    <t>Почепское с.п.</t>
  </si>
  <si>
    <t>Селявинское с.п.</t>
  </si>
  <si>
    <t>Среднеикорецкое с.п.</t>
  </si>
  <si>
    <t>Старохворостанское с.п.</t>
  </si>
  <si>
    <t>Степнянское с.п.</t>
  </si>
  <si>
    <t>Тресоруковское с.п.</t>
  </si>
  <si>
    <t>Троицкое с.п.</t>
  </si>
  <si>
    <t>Щучинское с.п.</t>
  </si>
  <si>
    <t>Сторожевское с.п.</t>
  </si>
  <si>
    <t>Итого по сельским поселениям</t>
  </si>
  <si>
    <t>Итого по району</t>
  </si>
  <si>
    <t>Итого по городским поселениям</t>
  </si>
  <si>
    <t>Давыдовског г.п.</t>
  </si>
  <si>
    <t>г.п.г. Лиски</t>
  </si>
  <si>
    <t>Давыдовское городское поселение</t>
  </si>
  <si>
    <t>Давыдовка подъезд к кирпичному заводу</t>
  </si>
  <si>
    <t>п. Давыдовка ул. Сморчкова</t>
  </si>
  <si>
    <t>п. Давыдовка ул. 40 лет Победы</t>
  </si>
  <si>
    <t>п. Давыдовка ул. Кошелева-ул. Сморчкова</t>
  </si>
  <si>
    <t>п. Давыдовка ул. Чапаева</t>
  </si>
  <si>
    <t xml:space="preserve">п. Давыдовка ул. К. Маркса </t>
  </si>
  <si>
    <t>п. Давыдовка ул. Мира</t>
  </si>
  <si>
    <t>п. Давыдовка подъезд к комплексу КРС</t>
  </si>
  <si>
    <t>п. Давыдовка подъезд к стадиону</t>
  </si>
  <si>
    <t xml:space="preserve">п. Давыдовка ул. Яблочная </t>
  </si>
  <si>
    <t>п. Давыдовка ул. Полевая</t>
  </si>
  <si>
    <t>п. Давыдовка ул. Сохнышевых</t>
  </si>
  <si>
    <t>п. Давыдовка ул. О. Кошевого</t>
  </si>
  <si>
    <t>п. Давыдовка ул. Пушкинская</t>
  </si>
  <si>
    <t xml:space="preserve">с. Вознесеновка ул. М. Горького </t>
  </si>
  <si>
    <t>с. Вознесеновка пер. М. Горького</t>
  </si>
  <si>
    <t>с. Вознесеновка ул. Буденного</t>
  </si>
  <si>
    <t>с. Вознесеновка ул. Плеханова</t>
  </si>
  <si>
    <t>с. Вознесеновка ул. Заводская</t>
  </si>
  <si>
    <t>с. Вознесеновка подъезд к школе 1</t>
  </si>
  <si>
    <t>с. Вознесеновка подъезд к школе 2</t>
  </si>
  <si>
    <t>с. Вознесеновка пер. Заводской</t>
  </si>
  <si>
    <t>с. Вознесеновка ул. Солнечная</t>
  </si>
  <si>
    <t>с. Вознесеновка ул. Дорожная</t>
  </si>
  <si>
    <t>с. Вознесеновка ул. Парковая</t>
  </si>
  <si>
    <t>Проезд от ул. Сморчкова п. Давыдовка до ул. Буденного с. Вознесеновка</t>
  </si>
  <si>
    <t>п. Давыдовка - 2-я Пятилетка</t>
  </si>
  <si>
    <t>п. Давыдовка - Водозабор</t>
  </si>
  <si>
    <t>п. Давыдовка - Садовое</t>
  </si>
  <si>
    <t>Полевая хозяйственная дорога №1</t>
  </si>
  <si>
    <t>Полевая хозяйственная дорога №2</t>
  </si>
  <si>
    <t>Полевая хозяйственная дорога №3</t>
  </si>
  <si>
    <t>Полевая хозяйственная дорога №4</t>
  </si>
  <si>
    <t>Полевая хозяйственная дорога №5</t>
  </si>
  <si>
    <t>Полевая хозяйственная дорога №6</t>
  </si>
  <si>
    <t>IV</t>
  </si>
  <si>
    <t>г. Лиски</t>
  </si>
  <si>
    <t>Проезд вдоль кладбища Мелбугор</t>
  </si>
  <si>
    <t>Проезд от ул. А. Матросова до ул. Восточная</t>
  </si>
  <si>
    <t>Проезд от ул. Макаренко до ул. Восточная</t>
  </si>
  <si>
    <t>ул. Тихая</t>
  </si>
  <si>
    <t>Проезд от ул. Коллективная до ул. Зеленая Гора</t>
  </si>
  <si>
    <t>Проезд от ул. Первомайская  до ул. Проточная</t>
  </si>
  <si>
    <t>Автодорога ул. Семейная</t>
  </si>
  <si>
    <t>Автодорога ул. Осенняя</t>
  </si>
  <si>
    <t>Автодорога ул. Голиусова</t>
  </si>
  <si>
    <t>Проезд от ул. 40 лет Октября д.№6 до ул. 8-е Марта</t>
  </si>
  <si>
    <t>Автодорога ул. Александра Родионова</t>
  </si>
  <si>
    <t xml:space="preserve">г.Лиски </t>
  </si>
  <si>
    <t>Автодорога ул. Г. Калашниковой</t>
  </si>
  <si>
    <t>Проезд от ул. 19 Партсъезда до ул. 8-е Марта</t>
  </si>
  <si>
    <t>Проезд от ул. Ушакова до ул. 40 лет Октября д.№7А</t>
  </si>
  <si>
    <t>Автодорога ул. А. Матросова (до кольца)</t>
  </si>
  <si>
    <t>Проезд от ул. Маршала Жукова до больничного комплекса</t>
  </si>
  <si>
    <t>Проезд от улРоманова до 3-его пер. Ульянова</t>
  </si>
  <si>
    <t>Проезд от ул.Романова до ул. Орджоникидзе</t>
  </si>
  <si>
    <t>Проезд от ул.40 лет Октября до 1-го пер. ул. Краснознаменной</t>
  </si>
  <si>
    <t>Проезд от  ул.40 лет Победы д.№2 до ул. 40 лет Победыд.№4</t>
  </si>
  <si>
    <t>Проезд от ул. Домостроителей  до ул. Домостроителей д.№ 9</t>
  </si>
  <si>
    <t>Проезд от ул.40 лет Победы, д. №1 до ул.Тулебердиева д.№2</t>
  </si>
  <si>
    <t>Проезд от  ул.Домостроителейд.№ 4 до  ул. Энтузиастов д.№ 5</t>
  </si>
  <si>
    <t>Проезд от ул.40 лет Октября д.№95 до  ул.Домостроителей д.№15</t>
  </si>
  <si>
    <t>Проезд от  ул.40 лет Октября  д.№87а до  ул.Тулебердиева д.№10</t>
  </si>
  <si>
    <t>Проезд от  ул.40 лет Октября, д.№79 до ул.40 лет Октября,д№85</t>
  </si>
  <si>
    <t>Проезд от  ул. 40 лет Октябряд.№71 до ул.40 лет Октября,д.№73</t>
  </si>
  <si>
    <t>Проезд от ул. 40 лет Октября д.№ 65 до ж/д переезда</t>
  </si>
  <si>
    <t>Проезд от  ул.Буракова д.№1 до ул.Буракова, д№9</t>
  </si>
  <si>
    <t>Проезд от ул.40 лет Октября,д№62а до ул.40 лет Октября,д.66а</t>
  </si>
  <si>
    <t>Проезд от ул.40 лет октября д.№63 до ул.Монтажников,д№7</t>
  </si>
  <si>
    <t>Проезд от спорткомплекса "Заводской" до  ул.Монтажников д.№2</t>
  </si>
  <si>
    <t>Проезд от дороги  на пляж Радон до ул. Шевченко</t>
  </si>
  <si>
    <t>Проезд от ул. Науменко д.1 до  ул.Науменко  д.№11а</t>
  </si>
  <si>
    <t>Проезд от ул. 40 лет Октября,д№33г  до спорткомплекса  "Заводской"</t>
  </si>
  <si>
    <t>Проезд от ул. Науменко до ул.40 лет Октября д.№54</t>
  </si>
  <si>
    <t>Проезд от ул. 40 лет Октября д.№ 26 до  ул.Науменко</t>
  </si>
  <si>
    <t>Проезд от  ул.40 лет Октября д.30 б до  ул.19 Партсъезда д.№11</t>
  </si>
  <si>
    <t>Проезд от  ул.19 Партсъезда д.№7а до ул. 40 лет Октября д.№30а</t>
  </si>
  <si>
    <t>Проезды от  ул.40 лет Октября,д№15 до  ул.40 лет Октября,д.№33г</t>
  </si>
  <si>
    <t>Проезды от 1 пер. ул. 40 лет Октября до 2 пер.  ул.40 лет Октября</t>
  </si>
  <si>
    <t>Проезд от  ул.40 лет Октября д.5  до магазина "Магнит"</t>
  </si>
  <si>
    <t>Проезд от 1 пер.  ул.40 лет Октября до  ул.19 Партсъезда</t>
  </si>
  <si>
    <t>Проезд от ул. Садовой до ул. Садовой д.№38,44</t>
  </si>
  <si>
    <t>Проезд от ул.Пионерской до ул. Пионерской  д. №14</t>
  </si>
  <si>
    <t>Проезд от  ул.40 лет Октября до ул. Нахимова д.№13</t>
  </si>
  <si>
    <t>Проезд от  ул.Коммунистическая до железной дороги</t>
  </si>
  <si>
    <t>Проезд от ул. Коминтерна до ул. Коминтерна д.№ 47а</t>
  </si>
  <si>
    <t>Проезд от  ул.Советской  до  ул. Советской д.№ 44</t>
  </si>
  <si>
    <t>Проезд от ул.Коминтерна до  ул.Маяковского д.№58</t>
  </si>
  <si>
    <t>Проезд от 2-го пер. Героя Машина до р. Дон</t>
  </si>
  <si>
    <t>Проезд от ул.М. Красноармейская, д№11 до ул. М. Красноармейская, д№19</t>
  </si>
  <si>
    <t>Проезд от ул. Кр. Зорь  д.№1б до ул. М. Красноармейской  д.№2,2а</t>
  </si>
  <si>
    <t>Проезд от ул.Коммунистическая до  ул. Кр. Зорь</t>
  </si>
  <si>
    <t>Проезд от пр. Ленина д.№23 до  ул. Кр. Зорь</t>
  </si>
  <si>
    <t>Проезд от магазина "Магнит" по  пр. Ленина до  пр. Ленина д.№ 6</t>
  </si>
  <si>
    <t>Проезд от  пр. Ленина до пр. Ленина  д.№24</t>
  </si>
  <si>
    <t>Проезд от  ул.Ломоносова д.№46 до памятника "Вечный Огонь"</t>
  </si>
  <si>
    <t>Проезд от ул. Ф. Энгельса д.№32 до пер. Б. Красноармейской</t>
  </si>
  <si>
    <t>Проезд от пр. Ленина д.№31 до  пер.Б. Красноармейской</t>
  </si>
  <si>
    <t>Проезд от пр. Ленина д.№ 37 до пр.Ленина д.№39</t>
  </si>
  <si>
    <t>Проезд  от СЭС до пр. Ленина д.№52</t>
  </si>
  <si>
    <t>Проезд от  ул.Чапаева до  ул.Свердлова д.№ 38</t>
  </si>
  <si>
    <t>Проезд от пр. Ленина до ул.Мира д.№1</t>
  </si>
  <si>
    <t>Проезд от  ул.Свердлова д.№37 до пр. Ленина</t>
  </si>
  <si>
    <t>Проезд от ул. Свердлова до  ул.Мира д.№9</t>
  </si>
  <si>
    <t>Проезд от ул. Свердлова д.39 до магазина "Донская Нива"</t>
  </si>
  <si>
    <t>Проезд от ул. Свердлова д.№ 68 до  ул.Свердлова д. 83</t>
  </si>
  <si>
    <t>Проезд от Дворца Торжеств до  ул.Титова д.№16</t>
  </si>
  <si>
    <t>Проезд от ул.Свердлова д.№78 до объездной  дороги на Давыдовку</t>
  </si>
  <si>
    <t>Проезд от ул. Свердлова д.№ 75 до пр. Ленина д.№64</t>
  </si>
  <si>
    <t>Проезд от ТЦ "Проспект" (ул. Титова) до  ул. Титова д.№28/2</t>
  </si>
  <si>
    <t>Проезд  от пр. Ленина д.№41 до пр. Ленина д.№49а</t>
  </si>
  <si>
    <t>Проезд от  ул.Чайковского до  ул.Титова д.№13,15,17,19,25</t>
  </si>
  <si>
    <t>Проезд от ул.Титова д.№1 до  ул.Титова д.№11</t>
  </si>
  <si>
    <t>Проезд от ул. Титова д.№2 до  ул. Титова д.№12</t>
  </si>
  <si>
    <t>Проезд от  ул.1-я Парковая  до стадиона МКУ "СОШ №12"</t>
  </si>
  <si>
    <t>Проезд от ул. Тр. Резервы д.№95а до ул. Тр. Резервы д.№103а</t>
  </si>
  <si>
    <t>Проезд от Титова,2 до Тр. Резервы, 93</t>
  </si>
  <si>
    <t>Проезд от ул.Пушкина д.№91 до  ул.Тр. Резервы д.№ 75</t>
  </si>
  <si>
    <t>Проезд от  ул.Чехова до пер. Чехова</t>
  </si>
  <si>
    <t>Проезд от  ул.Лысенко до ул. Спортивной</t>
  </si>
  <si>
    <t>Проезд от ул. Спортивной до  ул.А. Толстого д.6</t>
  </si>
  <si>
    <t>Проезд от ул.Тр. Резервов до ул. Чапаева д.№2а</t>
  </si>
  <si>
    <t>Проезд от  ул.Набережная д.№14 до ул. Набережная д.№28</t>
  </si>
  <si>
    <t>Проезд от ул.Элеваторной до  ул.Лысенко д.№10а</t>
  </si>
  <si>
    <t>Проезд от ул. Лысенко до ул. Лысенко д.№42</t>
  </si>
  <si>
    <t>Проезд от ул. Маршала Жукова  до  ул. Маршала Жукова д.№3</t>
  </si>
  <si>
    <t>Проезд от ул.Маршала Жукова д.№5 до ул. Сеченова д.№45</t>
  </si>
  <si>
    <t>Проезд от ул.Чапаева до  ул.Чапаева д.№57</t>
  </si>
  <si>
    <t>Проезд от  Комарова,8 до Строителей,6</t>
  </si>
  <si>
    <t>Проезд от ул.Юбилейной д.№1 до  ул.Юбилейной д.№2</t>
  </si>
  <si>
    <t>Проезд от ул.Сеченова  до ул. Сеченова д.№41</t>
  </si>
  <si>
    <t>Проезд от ул.Сеченова д.№ 3 до  ул.Сеченова д.№9</t>
  </si>
  <si>
    <t>Проезд от ул.Сеченова д.№ 2 до  ул.Сеченова д.№ 16</t>
  </si>
  <si>
    <t>Проезд от ул.Индустриальная  до ул.Индустриальной д.№ 2а</t>
  </si>
  <si>
    <t>Проезд  от ул.Индустриальной  до ул. Индустриальной д.№7</t>
  </si>
  <si>
    <t>Проезд от гормолзавода "Лискинский" до ул.Индустриальной д.№19</t>
  </si>
  <si>
    <t>Проезд от гормолзавода "Лискинский" до ул. Индустриальной д.№11</t>
  </si>
  <si>
    <t>Дороги от  ул.А. Матросова до Песчаного карьера</t>
  </si>
  <si>
    <t>дорога</t>
  </si>
  <si>
    <t>Дорога от ул. Воронежской до  полей фильтрации</t>
  </si>
  <si>
    <t>Дороги  от  ул.Романова до ул. Холмистой</t>
  </si>
  <si>
    <t>Дорога от ул. Энтузиастов до ул.Воронежской, д.№9</t>
  </si>
  <si>
    <t>Дорога от ул.Локомотивная ул. А. Матросова д.№61</t>
  </si>
  <si>
    <t>Дорога от Блочного завода  до Погруздвора</t>
  </si>
  <si>
    <t>Дорога от Блочного завода до ул. Сеченова д.№1</t>
  </si>
  <si>
    <t>Дорога от объездной  на Давыдовку до нефтебазы</t>
  </si>
  <si>
    <t>Дорога от х. Калач до Нефтебазы</t>
  </si>
  <si>
    <t>дорога от ул.Б. Донецкой до пляжа</t>
  </si>
  <si>
    <t>Дорога от пляжа санатория "Радон "до пляжа "Ручеек"</t>
  </si>
  <si>
    <t>х. Калач  проезд до  пляжа "Ручеек"</t>
  </si>
  <si>
    <t>Проезд от ул.Гоголя  до ул.Садовой</t>
  </si>
  <si>
    <t>Проезд от ул.Гоголя до ул.Макаренко</t>
  </si>
  <si>
    <t>Проезд от ул. Фестивальная магазин "Спектр"  до ж/дороги</t>
  </si>
  <si>
    <t>Проезд от ул.Чернышевского  до  ул.А. Матросова</t>
  </si>
  <si>
    <t>Проезд от пер. Ватутина до  ул.Фестивальной</t>
  </si>
  <si>
    <t>Дорога от газонаполнительной станции до  ул.А. Матросова</t>
  </si>
  <si>
    <t xml:space="preserve">Проезд от  ул.Линейная до 2-го пер. Октябрьской </t>
  </si>
  <si>
    <t>Проезд от ул.Луначарского до  ул.Проточной</t>
  </si>
  <si>
    <t>Проезд от  ул.Локомотивной до ул.Октябрьской</t>
  </si>
  <si>
    <t>Проезд от  ул.Локомотивной до ул. 2-ого Мелбугра</t>
  </si>
  <si>
    <t>Проезд от  ул. Кольцовская до ул. 2-й Мелбугор</t>
  </si>
  <si>
    <t>Проезд от  ул.Первомайской до  приемника-распределителя</t>
  </si>
  <si>
    <t>Дорога от ул. Матросова до дач</t>
  </si>
  <si>
    <t>Дорога от  ул. Матросова до  ул. Матросова д.№61</t>
  </si>
  <si>
    <t>Дорога от кладбища Мелбугор до полигона ТБО</t>
  </si>
  <si>
    <t>Проезд от ул. Макаренко до  ул.Восточной</t>
  </si>
  <si>
    <t>Проезды от ул. Романова до ул. Семейной</t>
  </si>
  <si>
    <t>Проезды от ул.Ветеранов до ул. Тенистой</t>
  </si>
  <si>
    <t>Проезды  от Блочного завода до трассы на Давыдовку</t>
  </si>
  <si>
    <t>Проезд от ул.Элеваторной до Блочного завода</t>
  </si>
  <si>
    <t>Дорога  от ул.Лесной до берега  р. Дон</t>
  </si>
  <si>
    <t>Дорога от ул.Солнечной до Поликлиники №2 ЦРБ</t>
  </si>
  <si>
    <t>Дорога от Почтового отделения №10 до магазина "Магнит"</t>
  </si>
  <si>
    <t>Проезд от Краснознаменной до Лесной</t>
  </si>
  <si>
    <t>Проезд от ул.Краснознаменной  магазин "Магнит "до кладбища</t>
  </si>
  <si>
    <t>Проезды от Солнечной  до  переулков Осипова</t>
  </si>
  <si>
    <t>Дорога от Промкомбината до Россельхозбанка</t>
  </si>
  <si>
    <t>Проезд от ул.40 лет Октября м-н Садко до  ул. 8-е Марта</t>
  </si>
  <si>
    <t>Дорога  от Нефтеслива до автомобильного моста через  р.Дон</t>
  </si>
  <si>
    <t>Дорога от Нефтеслива до озера Костянка</t>
  </si>
  <si>
    <t>Дорога от понтонного моста до затона</t>
  </si>
  <si>
    <t>Проезд от  ул.Ульянова до пл. Тимирязева</t>
  </si>
  <si>
    <t>Проезд от ул. Трудовых резервов  до ул. 4-й Парковой</t>
  </si>
  <si>
    <t>Проезд от ул. Индустриальная д.9 до ул. Сеченова д.№1</t>
  </si>
  <si>
    <t>Проезд от ул. Индустриальная д.15 до ул. Индустриальная д.№35а</t>
  </si>
  <si>
    <t>Дорога от ул.Индустриальной до ул. Индустриальная д.№12а</t>
  </si>
  <si>
    <t>Дорога от 3-его пер. Ульянова до ул. Ульянова</t>
  </si>
  <si>
    <t>Проезд от ул. Титова до ул. Коминтерна</t>
  </si>
  <si>
    <t>Проезд от ул. Свердлова до ул. Коминтерна</t>
  </si>
  <si>
    <t>Дорога от объездной на Давыдовку  до  трансформаторной подстанции</t>
  </si>
  <si>
    <t>Дорога от ул.Индустриальной д.№16/1до автодороги Лиски-Давыдовка</t>
  </si>
  <si>
    <t>Дорога от пр. Ленина до дороги на ул. Индустриальная</t>
  </si>
  <si>
    <t>Проезд от ул. Фестивальной  до ЗАО "Лискимонтажконструкция"</t>
  </si>
  <si>
    <t>Дорога от ул. Фестивальной до угольного склада</t>
  </si>
  <si>
    <t>Дорога от ул. Коминтерна до пляжа  санатория "Радон"</t>
  </si>
  <si>
    <t>Дорога от ул. Б. Донецкой до пляжа  "Военка"</t>
  </si>
  <si>
    <t>Дорога от трассы на Н. Икорец до Очистных сооружений</t>
  </si>
  <si>
    <t>Дорога от ул. Ульянова до выезда из города</t>
  </si>
  <si>
    <t>Дорога от ул.Ульянова до водозабора оз. Песковатское</t>
  </si>
  <si>
    <t>Проезд от ул.Лесной до  ул. 40 лет Октября</t>
  </si>
  <si>
    <t>Дорога от ул. Буракова до ул.Воронежской</t>
  </si>
  <si>
    <t>Дорога от старого понтонного моста до нефтеслива</t>
  </si>
  <si>
    <t>Дорога  от ул. Пионерской  до берега р. Дон</t>
  </si>
  <si>
    <t>Дорога от ул. Коллективной до берега р. Дон</t>
  </si>
  <si>
    <t>Проезд от ул. Б. Донецкая до ж/д моста через р. Дон</t>
  </si>
  <si>
    <t>Проезд от ул. Воронежской до трассы на г. Острогожск</t>
  </si>
  <si>
    <t>Проезд от ул. Воронежской до ул. Воронежская д. №35</t>
  </si>
  <si>
    <t>Проезд от ул. Воронежской до ООО "Лиски-Сахар"</t>
  </si>
  <si>
    <t>Проезд от  ул. Воронежской до ул. Воронежской д.№15</t>
  </si>
  <si>
    <t>Проезд  от ул. Краснознаменной до ул. Краснознаменной д. №229</t>
  </si>
  <si>
    <t>Проезд  от ул.Солнечной до  ул. Домостроителей  д.№6</t>
  </si>
  <si>
    <t>Проезд от ул.Энтузиастов д.№5 до ул. Домостроителей</t>
  </si>
  <si>
    <t>Проезд от ул. Энтузиастов до ул. Домостроителей д.№18</t>
  </si>
  <si>
    <t>Проезд от ул. Тулебердиева до ул. Энтузиастов</t>
  </si>
  <si>
    <t>Проезд от ул.Воронежской до  ул.Тулебердиева</t>
  </si>
  <si>
    <t>Проезд от  ул.Тулебердиева до ул. Тулебердиева д.№21</t>
  </si>
  <si>
    <t>Проезд от ул.Солнечной до ул.  У. Громовой</t>
  </si>
  <si>
    <t>Проезд от ул. 4-й Степной  до ул. 5-й Степной</t>
  </si>
  <si>
    <t>Проезд от ул. Красной до  ул. 8-е Марта</t>
  </si>
  <si>
    <t>Проезд №7 от  ул. 40 лет  Октября</t>
  </si>
  <si>
    <t>Проезды №6 от 40 лет Октября</t>
  </si>
  <si>
    <t>Проезды №5 от ул.40 лет Октября</t>
  </si>
  <si>
    <t>Проезд №4  от  ул.40 лет Октября</t>
  </si>
  <si>
    <t>Проезд №3 от  ул.40 лет Октября</t>
  </si>
  <si>
    <t>Проезд №2 от  ул.40 лет Октября</t>
  </si>
  <si>
    <t xml:space="preserve">Проезд №1  от  ул. 40 лет Октября </t>
  </si>
  <si>
    <t>Проезд от ул. Сеченова до ул. Сеченова д.№16</t>
  </si>
  <si>
    <t>Проезд от ул. Сеченова до ул. Пирогова</t>
  </si>
  <si>
    <t>Проезд от ул.Индустриальной до ул. Индустриальная д.№17</t>
  </si>
  <si>
    <t>Проезд от ул.Индустриальной до ул. Индустриальной д.№9</t>
  </si>
  <si>
    <t>Проезд от ул. Чапаева до ул. Свердлова</t>
  </si>
  <si>
    <t>Проезд от ул. С. Разина до  ул. Чехова</t>
  </si>
  <si>
    <t>Проезд от ул. С. Разина до ул. Сеченова</t>
  </si>
  <si>
    <t>Проезд от ул. Маршала Жукова до ул. Маршала Жукова д.№7</t>
  </si>
  <si>
    <t>Проезд от ул.Лысенко до ул. Элеваторной</t>
  </si>
  <si>
    <t>Проезд от ул.Лысенко до ул. Лысенко д.№2</t>
  </si>
  <si>
    <t>Проезд от ул.Ленина д.№2 до ул. Коммунистиской</t>
  </si>
  <si>
    <t>Проезд  от ул. Энтузиастов д.№15 до ул. Энтузиастов д.№11</t>
  </si>
  <si>
    <t>Проезд  от ул. Домостроителей д.№24 до ул. Домостроителей д.№18</t>
  </si>
  <si>
    <t>Проезд от ул.  М. Красноармейской д.№19 до ул. Советской</t>
  </si>
  <si>
    <t>Проезд от ул.Свободы до ул.Чайковского</t>
  </si>
  <si>
    <t>Проезд от ул.Титова до  ул.Пушкина</t>
  </si>
  <si>
    <t>Проезд от ул.Трудовые резервы  до ул. Трудовые резервы д.№99</t>
  </si>
  <si>
    <t>Проезд от ул. Трудовые резевы д.№95а до ул. Трудовые резервы</t>
  </si>
  <si>
    <t>Проезд   от ул.Титова  д.№2 до  ул.Трудовые резервы д. №93</t>
  </si>
  <si>
    <t>Проезд от ул. Титова до ул. Титова д..№4а</t>
  </si>
  <si>
    <t>Проезд от ул. Свердлова до ул.Титова д.№12</t>
  </si>
  <si>
    <t>Проезд от ул.Тр. Резервы до ул. Трудовые резервы д.№90</t>
  </si>
  <si>
    <t>Проезд от ул.Чайковского до ул. Титова</t>
  </si>
  <si>
    <t>Проезд от  ул.Титова до ул. Титова д. №26</t>
  </si>
  <si>
    <t>Проезд от ул. Титова д.№16а до ул. Титова д.№ 18</t>
  </si>
  <si>
    <t>Проезд от пр. Ленина д.№60 до ул. Титова д.№16</t>
  </si>
  <si>
    <t>Проезд  от пр. ленина д.№43 до пр. Ленина д.№41</t>
  </si>
  <si>
    <t>Проезд от пр. Ленина д.№43 до пр. ленина д. №45а</t>
  </si>
  <si>
    <t>Проезд от пр. Ленина д.№45 до пр. Ленина д.№43</t>
  </si>
  <si>
    <t>Проезд от ул. Свердлова №69  до пр. Ленина</t>
  </si>
  <si>
    <t>Проезд  от д/сада "Чудесная страна" до ул. Титова д.№32Б</t>
  </si>
  <si>
    <t>Проезд  от пр. ленина до пр. Ленина д.№43Б</t>
  </si>
  <si>
    <t>Проезд от пр. Ленина до пр. Ленина д.№49</t>
  </si>
  <si>
    <t xml:space="preserve">Проезд №1от ул.Свердлова </t>
  </si>
  <si>
    <t>Проезд №5 от ул. Коммунистической</t>
  </si>
  <si>
    <t>Проезд №4 от ул.Коммунистической</t>
  </si>
  <si>
    <t>Проезд №3 от ул. Коммунистичекой</t>
  </si>
  <si>
    <t>Проезд №2 от  ул.Коммунистической</t>
  </si>
  <si>
    <t>Проезд №1 от ул. Коммунистической</t>
  </si>
  <si>
    <t>Проезд от ул. Коммунистической до ул. 30 лет ВЛКСМ</t>
  </si>
  <si>
    <t>х. Калач</t>
  </si>
  <si>
    <t>Проезд от ул.Фестивальной до ул. Садовой</t>
  </si>
  <si>
    <t xml:space="preserve">Проезд от 1-ой до 8-ой Парковой </t>
  </si>
  <si>
    <t>Автодорога ул.Центральный бульвар</t>
  </si>
  <si>
    <t>Автодорога ул.2 переулок Цветочной</t>
  </si>
  <si>
    <t>Автодорога ул.1 переулок Цветочной</t>
  </si>
  <si>
    <t>Автодорога ул.Цветочная</t>
  </si>
  <si>
    <t>Автодорога ул.Уютная</t>
  </si>
  <si>
    <t>Автодорога ул.Северная</t>
  </si>
  <si>
    <t>Автодорога ул.Садовое кольцо</t>
  </si>
  <si>
    <t>Автодорога ул.Приозерная</t>
  </si>
  <si>
    <t>Автодорога ул.Задонская</t>
  </si>
  <si>
    <t>Автодорога ул.Виноградная</t>
  </si>
  <si>
    <t>Автодорога ул. Абрикосовая</t>
  </si>
  <si>
    <t>Проезд  от ул. Свердлова до пр. Ленина</t>
  </si>
  <si>
    <t>Автодорога ул.Привокзальная</t>
  </si>
  <si>
    <t>Автодорога от ул. Советская до ул. Б. Донецкая</t>
  </si>
  <si>
    <t>Автодорога пер.М.Красноармейской</t>
  </si>
  <si>
    <t>Автодорога 2-й пер.Коммунистической</t>
  </si>
  <si>
    <t>Автодорга ул.Весенняя</t>
  </si>
  <si>
    <t>Автодорога ул.Изумрудная</t>
  </si>
  <si>
    <t xml:space="preserve">Автодорога ул.Десантников </t>
  </si>
  <si>
    <t>Автодорога 2-й пер.40 лет Октября</t>
  </si>
  <si>
    <t>Автодорога 4-й пер. Красной</t>
  </si>
  <si>
    <t>Автодорога 3-й пер.Красной</t>
  </si>
  <si>
    <t>Автодорога 2-й пер.Красной</t>
  </si>
  <si>
    <t>Автодорога 1-й пер.Красной</t>
  </si>
  <si>
    <t>Автодорога ул.Б.Хмельницкого</t>
  </si>
  <si>
    <t>Автодорога ул.Садовая</t>
  </si>
  <si>
    <t>Автодорога ул.Суворова</t>
  </si>
  <si>
    <t>Автодорога ул.Мичурина</t>
  </si>
  <si>
    <t>Автодорога ул.9 Мая</t>
  </si>
  <si>
    <t>Автодорога 3-й пер.Калинина</t>
  </si>
  <si>
    <t>Автодорога 2-й пер.Калинина</t>
  </si>
  <si>
    <t>Автодорога 1-й пер.Калинина</t>
  </si>
  <si>
    <t>Автодорога ул.Калинина</t>
  </si>
  <si>
    <t>Автодорога 3-й пер.Декабристов</t>
  </si>
  <si>
    <t>Автодорога 2-й пер.Декабристов</t>
  </si>
  <si>
    <t>Автодорога 1-й пер.Декабристов</t>
  </si>
  <si>
    <t>Автодорога ул.Декабристов</t>
  </si>
  <si>
    <t>Автодорога ул.Дзержинского</t>
  </si>
  <si>
    <t>Автодорога ул.Гагарина</t>
  </si>
  <si>
    <t>Автодорога пер.Красногорье</t>
  </si>
  <si>
    <t>Автодорога ул.Красногорье</t>
  </si>
  <si>
    <t>Автодорога ул.Зеленая Гора</t>
  </si>
  <si>
    <t>Автодорога пер.Первомайской</t>
  </si>
  <si>
    <t>Автодорога ул.8-я Парковая</t>
  </si>
  <si>
    <t>Автодорога ул.7-я Парковая</t>
  </si>
  <si>
    <t>Автодорога ул.6-я Парковая</t>
  </si>
  <si>
    <t>Автодорога ул.5-я Парковая</t>
  </si>
  <si>
    <t>Автодорога ул.4-я Парковая</t>
  </si>
  <si>
    <t>Автодорога ул.3-я Парковая</t>
  </si>
  <si>
    <t>Автодорога ул.2-я Парковая</t>
  </si>
  <si>
    <t>Автодорога ул.1-я Парковая</t>
  </si>
  <si>
    <t>Автодорога ул.Фрунзе</t>
  </si>
  <si>
    <t>Автодорога ул.Юбилейная</t>
  </si>
  <si>
    <t>Автодорога 2-й пер.Чапаева</t>
  </si>
  <si>
    <t>Автодорога 1-й пер.Чапаева</t>
  </si>
  <si>
    <t>Автодорога ул.Тургенева</t>
  </si>
  <si>
    <t>Автодорога ул.С.Разина</t>
  </si>
  <si>
    <t>Автодорога ул.Строителей</t>
  </si>
  <si>
    <t>Автодорога ул.Пирогова</t>
  </si>
  <si>
    <t>Автодорога ул.Никитина</t>
  </si>
  <si>
    <t>Автодорога ул.Комарова</t>
  </si>
  <si>
    <t>Автодорога ул.Кирова</t>
  </si>
  <si>
    <t>Автодорога пер.Коминтерна</t>
  </si>
  <si>
    <t>Автодорога ул.Маяковского</t>
  </si>
  <si>
    <t>Автодорога ул.Ф.Энгельса</t>
  </si>
  <si>
    <t>Автодорога ул.Победы</t>
  </si>
  <si>
    <t>Автодорога пер.Б.Красноармейской</t>
  </si>
  <si>
    <t>Автодорога ул.Б.Красноармейская</t>
  </si>
  <si>
    <t>Автодорога 2-й пер.Советской</t>
  </si>
  <si>
    <t>Автодорога 1-й пер.Советской</t>
  </si>
  <si>
    <t>Автодорога пер.Пролетарской</t>
  </si>
  <si>
    <t>Автодорога ул.Пролетарская</t>
  </si>
  <si>
    <t>Автодорога 2-й пер.25 Лет Октября</t>
  </si>
  <si>
    <t>Автодорога 1-й пер.25 лет Октября</t>
  </si>
  <si>
    <t>Автодорога ул.М.Донецкая</t>
  </si>
  <si>
    <t>Автодорога 2-й пер.К.Маркса</t>
  </si>
  <si>
    <t>Автодорога 1-й пер.К.Маркса</t>
  </si>
  <si>
    <t>Автодорога ул.К.Маркса</t>
  </si>
  <si>
    <t>Автодорога пер.Гражданской</t>
  </si>
  <si>
    <t>Автодорога ул.Гражданская</t>
  </si>
  <si>
    <t>Автодорога 2-й пер.Горной</t>
  </si>
  <si>
    <t>Автодорога 1-й пер.Горной</t>
  </si>
  <si>
    <t>Автодорога ул.Горная</t>
  </si>
  <si>
    <t>Автодорога пер.Чернышевского</t>
  </si>
  <si>
    <t>Автодорога пер.Б.Донецкой</t>
  </si>
  <si>
    <t>Автодорога ул.Узкий проезд</t>
  </si>
  <si>
    <t>Автодорога ул.9 Января</t>
  </si>
  <si>
    <t>Автодорога ул.2-ой Мелбугор</t>
  </si>
  <si>
    <t>Автодорога пер.Черняховского</t>
  </si>
  <si>
    <t>Автодорога ул.Черняховского</t>
  </si>
  <si>
    <t>Автодорога пер.С.Лазо</t>
  </si>
  <si>
    <t>Автодорога ул.Проточная</t>
  </si>
  <si>
    <t>Автодорога пер.Плеханова</t>
  </si>
  <si>
    <t>Автодорога ул.Плеханова</t>
  </si>
  <si>
    <t>Автодорога 2-й пер.Октябрьской</t>
  </si>
  <si>
    <t>Автодорога 1-й пер.Октябрьской</t>
  </si>
  <si>
    <t>Автодорога ул.Локомотивная</t>
  </si>
  <si>
    <t>Автодорога пер.Крестьянской</t>
  </si>
  <si>
    <t>Автодорога ул.Крестьянская</t>
  </si>
  <si>
    <t>Автодорога ул.Кольцовская</t>
  </si>
  <si>
    <t>Автодорога пер.Кутузова</t>
  </si>
  <si>
    <t>Автодорога ул.Кутузова</t>
  </si>
  <si>
    <t>Автодорога ул.Чкалова</t>
  </si>
  <si>
    <t>Автодорога ул.Трудовая</t>
  </si>
  <si>
    <t>Автодорога ул.Выборгская</t>
  </si>
  <si>
    <t>Автодорога ул.Л.Федодеевой</t>
  </si>
  <si>
    <t>Автодорога ул.20 Партсъезд</t>
  </si>
  <si>
    <t>Автодорога пер.Павлова</t>
  </si>
  <si>
    <t>Автодорога пер.Островского</t>
  </si>
  <si>
    <t>Автодорога пер.Макаренко</t>
  </si>
  <si>
    <t>Автодорога 3-й пер.Луначарского</t>
  </si>
  <si>
    <t>Автодорога 2-й пер.Луначарского</t>
  </si>
  <si>
    <t>Автодорога 1-й пер.Луначарского</t>
  </si>
  <si>
    <t>Автодорога ул.Лермонтова</t>
  </si>
  <si>
    <t>Автодорога ул.Курчатова</t>
  </si>
  <si>
    <t>Автодорога 2-й пер.З.Космодемьянской</t>
  </si>
  <si>
    <t>Автодорога 1-й пер.З.Космодемьянской</t>
  </si>
  <si>
    <t>Автодорога ул.Гоголя</t>
  </si>
  <si>
    <t>Автодорога ул.Восточная</t>
  </si>
  <si>
    <t>Автодорога пер.Ватутина</t>
  </si>
  <si>
    <t>Автодорога ул.Белинского</t>
  </si>
  <si>
    <t>Автодорога ул.Лесная</t>
  </si>
  <si>
    <t>Автодорога ул.Нахимова</t>
  </si>
  <si>
    <t>Автодорога ул.Холмистая</t>
  </si>
  <si>
    <t>Автодорога ул.Тенистая</t>
  </si>
  <si>
    <t>Автодорога ул.219-я Идрицкая дивизия</t>
  </si>
  <si>
    <t>Автодорога ул.Генерала Грибкова</t>
  </si>
  <si>
    <t>Автодорога ул.Радужная</t>
  </si>
  <si>
    <t>Автодорога ул.Романова</t>
  </si>
  <si>
    <t>Автодорога ул.8-я Степная</t>
  </si>
  <si>
    <t>Автодорога ул.7-я Степная</t>
  </si>
  <si>
    <t>Автодорога ул.6-я Степная</t>
  </si>
  <si>
    <t>Автодорога ул.5-я Степная</t>
  </si>
  <si>
    <t>Автодорога ул.4-я Степная</t>
  </si>
  <si>
    <t>Автодорога ул.3-я Степная</t>
  </si>
  <si>
    <t>Автодорога ул.2-я Степная</t>
  </si>
  <si>
    <t>Автодорога ул.1-я Степная</t>
  </si>
  <si>
    <t>Автодорога ул.Новоселов</t>
  </si>
  <si>
    <t>Автодорога 4-й пер.Молодежной</t>
  </si>
  <si>
    <t>Автодорога 3-й пер.Молодежной</t>
  </si>
  <si>
    <t>Автодорога 2-й пер.Молодежной</t>
  </si>
  <si>
    <t>Автодорога 1-й пер.Молодежной</t>
  </si>
  <si>
    <t>Автодорога ул.Молодежная</t>
  </si>
  <si>
    <t>Автодорога ул.Дорожная</t>
  </si>
  <si>
    <t>Автодорога ул.Березовая</t>
  </si>
  <si>
    <t>Автодорога ул.Южная</t>
  </si>
  <si>
    <t>Автодорога ул.Школьная</t>
  </si>
  <si>
    <t>Автодорога ул.Песчаная</t>
  </si>
  <si>
    <t>Автодорога ул.Некрасова</t>
  </si>
  <si>
    <t>Автодорога 2-й пер.Щербакова</t>
  </si>
  <si>
    <t>Автодорога 1-й пер.Щербакова</t>
  </si>
  <si>
    <t>Автодорога ул.Орджоникидзе</t>
  </si>
  <si>
    <t>Автодорога 3-й пер.Осипова</t>
  </si>
  <si>
    <t>Автодорога 2-й пер.Осипова</t>
  </si>
  <si>
    <t>Автодорога 1-й пер.Осипова</t>
  </si>
  <si>
    <t>Автодорога ул.Набережная</t>
  </si>
  <si>
    <t>Автодорога 2-й пер.Лозовой</t>
  </si>
  <si>
    <t>Автодорога 1-й пер.Лозовой</t>
  </si>
  <si>
    <t>Автодорога ул.Лозовая</t>
  </si>
  <si>
    <t>Автодорога  пер.Тимирязева</t>
  </si>
  <si>
    <t>Автодорога площадь Тимирязева</t>
  </si>
  <si>
    <t>площадь</t>
  </si>
  <si>
    <t>Автодорога пер.13 съезд ВЛКСМ</t>
  </si>
  <si>
    <t>Автодорога ул.13 съезд ВЛКСМ</t>
  </si>
  <si>
    <t>Автодорога 3-й пер.Г.Машина</t>
  </si>
  <si>
    <t>Автодорога 2-й пер.Г.Машина</t>
  </si>
  <si>
    <t>Автодорога 1-й пер.Г.Машина</t>
  </si>
  <si>
    <t>Автодорога ул.Г.Машина</t>
  </si>
  <si>
    <t>Автодорога 3-й пер.Ульянова</t>
  </si>
  <si>
    <t>Автодорога 2-й пер.Ульянова</t>
  </si>
  <si>
    <t>Автодорога 1-й пер.Ульянова</t>
  </si>
  <si>
    <t>Автодорога 4-й пер.Краснознаменной</t>
  </si>
  <si>
    <t>Автодорога 3-й пер.Краснознаменной</t>
  </si>
  <si>
    <t>Автодорога 2-й пер.Краснознаменной</t>
  </si>
  <si>
    <t>Автодорога 1-й пер. Краснознаменной</t>
  </si>
  <si>
    <t>Автодорога ул.19-й Партсъезд</t>
  </si>
  <si>
    <t>Автодорога ул.Науменко</t>
  </si>
  <si>
    <t>Автодорога ул.Красная</t>
  </si>
  <si>
    <t>Автодорога ул.Ушакова</t>
  </si>
  <si>
    <t>Автодорога ул.Коллективная</t>
  </si>
  <si>
    <t>Автодорога ул.Бобровская</t>
  </si>
  <si>
    <t>Автодорога ул.Пионерская</t>
  </si>
  <si>
    <t>Автодорога ул.Комсомольская</t>
  </si>
  <si>
    <t>Автодорога 1-й пер. 40 лет Октября</t>
  </si>
  <si>
    <t>Автодорога ул.Чапаева</t>
  </si>
  <si>
    <t>Автодорога пер.Чехова</t>
  </si>
  <si>
    <t>Автодорога ул.Чехова</t>
  </si>
  <si>
    <t>Автодорога ул.А. Толстого</t>
  </si>
  <si>
    <t>Автодорога ул. Спортивная</t>
  </si>
  <si>
    <t>Автодорога ул.Вишневая</t>
  </si>
  <si>
    <t>Автодорога ул.Ломоносова</t>
  </si>
  <si>
    <t>Автодорога ул.Мира</t>
  </si>
  <si>
    <t>Автодорога пл.Свободы</t>
  </si>
  <si>
    <t>Автодорога ул.Чайковского</t>
  </si>
  <si>
    <t>Автодорога ул.Пушкина</t>
  </si>
  <si>
    <t>Автодорога ул.Элеваторная</t>
  </si>
  <si>
    <t>Автодорога ул.Коминтерна</t>
  </si>
  <si>
    <t>Автодорога ул.О.Кошевого</t>
  </si>
  <si>
    <t>Автодорога ул.М.Горького</t>
  </si>
  <si>
    <t>Автодорога ул.Шереметьева</t>
  </si>
  <si>
    <t>Автодорога ул. М.Красноармейская</t>
  </si>
  <si>
    <t>Автодорога ул.Кр.Зорь</t>
  </si>
  <si>
    <t>Автодорога пер.Шевченко</t>
  </si>
  <si>
    <t>Автодорога ул.Шевченко</t>
  </si>
  <si>
    <t>Автодорога Пл.Революции</t>
  </si>
  <si>
    <t>Автодорога ул.25 лет Октября</t>
  </si>
  <si>
    <t>Автодорога ул.30 лет ВЛКСМ</t>
  </si>
  <si>
    <t>Автодорога ул.Б.Донецкая</t>
  </si>
  <si>
    <t>Автодорога 5-й пер.Ленина</t>
  </si>
  <si>
    <t>Автодорога 4-й пер.Ленина</t>
  </si>
  <si>
    <t>Автодорога 3-й пер.Ленина</t>
  </si>
  <si>
    <t>Автодорога 2-й пер.Ленина</t>
  </si>
  <si>
    <t>Автодорога 1-й пер.Ленина</t>
  </si>
  <si>
    <t>Автодорога ул.Ленина</t>
  </si>
  <si>
    <t>Автодорога ул.С.Лазо</t>
  </si>
  <si>
    <t>Автодорога ул.Октябрьская</t>
  </si>
  <si>
    <t>Автодорога ул.Линейная</t>
  </si>
  <si>
    <t>Автодорога ул.Крупской</t>
  </si>
  <si>
    <t>Автодорога ул.Чернышевского</t>
  </si>
  <si>
    <t>Автодорога ул.Сизоненко</t>
  </si>
  <si>
    <t>Автодорога ул.Павлова</t>
  </si>
  <si>
    <t>Автодорога ул.Островского</t>
  </si>
  <si>
    <t>Автодорога ул.Космонавтов</t>
  </si>
  <si>
    <t>Автодорога ул.З.Космодемьянской</t>
  </si>
  <si>
    <t>Автодорога ул.Ватутина</t>
  </si>
  <si>
    <t>Автодорога ул.Монтажников</t>
  </si>
  <si>
    <t>Автодорога 3-й пер. 40 лет Победы</t>
  </si>
  <si>
    <t>Автодорога 2-й пер. 40 лет Победы</t>
  </si>
  <si>
    <t>Автодорога 1-й пер. 40 лет Победы</t>
  </si>
  <si>
    <t>Автодорога ул.Сосновая</t>
  </si>
  <si>
    <t>Автодорога ул.Домостроителей</t>
  </si>
  <si>
    <t>Автодорога ул.У.Громовой</t>
  </si>
  <si>
    <t>Автодорога ул.Щербакова</t>
  </si>
  <si>
    <t>Автодорога ул.Волкова</t>
  </si>
  <si>
    <t>Автодорога ул.Осипова</t>
  </si>
  <si>
    <t>Автодорога ул.Заводская</t>
  </si>
  <si>
    <t>Автодорога ул. 8 Марта</t>
  </si>
  <si>
    <t>Автодорога ул.Макаренко</t>
  </si>
  <si>
    <t>Автодорога ул.А. Матросова</t>
  </si>
  <si>
    <t>Автодорога ул.Луначарского</t>
  </si>
  <si>
    <t>Автодорога ул.Воронежская</t>
  </si>
  <si>
    <t>Автодорога ул.В.Буракова</t>
  </si>
  <si>
    <t>Автодорога ул.Фестивальная</t>
  </si>
  <si>
    <t>Автодорога ул.Ульянова</t>
  </si>
  <si>
    <t>Автодорога ул.Краснознаменная</t>
  </si>
  <si>
    <t>Автодорога ул.40 лет Победы</t>
  </si>
  <si>
    <t>Автодорога ул.Тулебердиева</t>
  </si>
  <si>
    <t>Автодорога ул.Ветеранов</t>
  </si>
  <si>
    <t>Автодорога ул.Машиностроителей</t>
  </si>
  <si>
    <t>Автодорога ул.Энтузиастов</t>
  </si>
  <si>
    <t>Автодорога ул.Солнечная</t>
  </si>
  <si>
    <t>Автодорога ул.40 лет Октября</t>
  </si>
  <si>
    <t>Автодорога ул.Первомайская</t>
  </si>
  <si>
    <t>Автодорога ул.Железнодорожная</t>
  </si>
  <si>
    <t>Автодорога ул.Индустриальная</t>
  </si>
  <si>
    <t>Автодорога ул.Лысенко</t>
  </si>
  <si>
    <t>Автодорога ул.Сеченова</t>
  </si>
  <si>
    <t>Автодорога ул.Жукова</t>
  </si>
  <si>
    <t>Автодорога ул.Титова</t>
  </si>
  <si>
    <t>Автодорога ул.Свердлова</t>
  </si>
  <si>
    <t>Автодорога ул.Тр.Резервы</t>
  </si>
  <si>
    <t>Автодорога ул.Тельмана</t>
  </si>
  <si>
    <t>Автодорога ул.Свободы</t>
  </si>
  <si>
    <t>Автодорога ул.Советская</t>
  </si>
  <si>
    <t>Автодорога ул.Транспортная</t>
  </si>
  <si>
    <t>Автодорога ул.Коммунистическая</t>
  </si>
  <si>
    <t>Автодорога проспект Ленина</t>
  </si>
  <si>
    <t>проспект</t>
  </si>
  <si>
    <t>Протяженность дорог Лискинского мцниципального района</t>
  </si>
  <si>
    <t>с. Высокое проезд ул. Березовая - ж.д. переезд</t>
  </si>
  <si>
    <t>с. Дракино ул. Ленина</t>
  </si>
  <si>
    <t xml:space="preserve">с. Залужное пер. Коломыцева </t>
  </si>
  <si>
    <t>с. Залужное ул. Центральная подъезд к жилым домам</t>
  </si>
  <si>
    <t>с. Петровское ул. 40 лет Октября - подъезд к гаражам</t>
  </si>
  <si>
    <t>с. Екатериновка подъезд к кладбищу</t>
  </si>
  <si>
    <t>с. Петровское подъезд к кладбищу</t>
  </si>
  <si>
    <t>с. Нижнемарьино ул. И.Коляды</t>
  </si>
  <si>
    <t>с. Троицкое проезд к кладбищу</t>
  </si>
  <si>
    <t>с. Переезжее ул. Садовая</t>
  </si>
  <si>
    <t>с. Щучье ул. Советская уч. 2</t>
  </si>
  <si>
    <t>п. Давыдовка подъезд к кладбищу</t>
  </si>
  <si>
    <t xml:space="preserve">п. Давыдовка ул. Лесная </t>
  </si>
  <si>
    <t>Старохворостанское с.п. полевая хозяйственная дорога №3</t>
  </si>
  <si>
    <t>Старохворостанское с.п. полевая хозяйственная дорога №4</t>
  </si>
  <si>
    <t xml:space="preserve">Высокинское с.п. подъезд к площадкам по выращиванию бройлеров </t>
  </si>
  <si>
    <t>Район</t>
  </si>
  <si>
    <t>с. Лиски ул. Советская - ул. Ленина</t>
  </si>
  <si>
    <t>20-221-804 ОП МП 01</t>
  </si>
  <si>
    <t>20-221-804 ОП МП 02</t>
  </si>
  <si>
    <t>20-221-804 ОП МП 03</t>
  </si>
  <si>
    <t>20-221-804 ОП МП 04</t>
  </si>
  <si>
    <t>20-221-804 ОП МП 05</t>
  </si>
  <si>
    <t>20-221-804 ОП МП 06</t>
  </si>
  <si>
    <t>20-221-804 ОП МП 07</t>
  </si>
  <si>
    <t>20-221-804 ОП МП 08</t>
  </si>
  <si>
    <t>20-221-804 ОП МП 09</t>
  </si>
  <si>
    <t>20-221-804 ОП МП 10</t>
  </si>
  <si>
    <t>20-221-804 ОП МП 11</t>
  </si>
  <si>
    <t>20-221-804 ОП МП 12</t>
  </si>
  <si>
    <t>20-221-804 ОП МП 13</t>
  </si>
  <si>
    <t>20-221-804 ОП МП 14</t>
  </si>
  <si>
    <t>20-221-804 ОП МП 15</t>
  </si>
  <si>
    <t>20-221-804 ОП МП 16</t>
  </si>
  <si>
    <t>20-221-804 ОП МП 17</t>
  </si>
  <si>
    <t>20-221-804 ОП МП 18</t>
  </si>
  <si>
    <t>20-221-804 ОП МП 19</t>
  </si>
  <si>
    <t>20-221-804 ОП МП 20</t>
  </si>
  <si>
    <t>20-221-804 ОП МП 21</t>
  </si>
  <si>
    <t>20-221-804 ОП МП 22</t>
  </si>
  <si>
    <t>20-221-804 ОП МП 23</t>
  </si>
  <si>
    <t>20-221-804 ОП МП 24</t>
  </si>
  <si>
    <t>20-221-804 ОП МП 25</t>
  </si>
  <si>
    <t>20-221-804 ОП МП 26</t>
  </si>
  <si>
    <t>20-221-804 ОП МП 27</t>
  </si>
  <si>
    <t>20-221-804 ОП МП 28</t>
  </si>
  <si>
    <t>20-221-804 ОП МП 29</t>
  </si>
  <si>
    <t>20-221-804 ОП МП 30</t>
  </si>
  <si>
    <t>20-221-804 ОП МП 31</t>
  </si>
  <si>
    <t>20-221-804 ОП МП 32</t>
  </si>
  <si>
    <t>20-221-804 ОП МП 33</t>
  </si>
  <si>
    <t>20-221-804 ОП МП 34</t>
  </si>
  <si>
    <t>20-221-804 ОП МП 35</t>
  </si>
  <si>
    <t>20-221-804 ОП МП 36</t>
  </si>
  <si>
    <t>20-221-804 ОП МП 37</t>
  </si>
  <si>
    <t>20-221-804 ОП МП 38</t>
  </si>
  <si>
    <t>20-221-804 ОП МП 39</t>
  </si>
  <si>
    <t>20-221-804 ОП МП 40</t>
  </si>
  <si>
    <t>20-221-804 ОП МП 41</t>
  </si>
  <si>
    <t>20-221-804 ОП МП 42</t>
  </si>
  <si>
    <t>20-221-804 ОП МП 43</t>
  </si>
  <si>
    <t>20-221-804 ОП МП 44</t>
  </si>
  <si>
    <t>20-221-808 ОП МП 01</t>
  </si>
  <si>
    <t>20-221-808 ОП МП 02</t>
  </si>
  <si>
    <t>20-221-808 ОП МП 03</t>
  </si>
  <si>
    <t>20-221-808 ОП МП 04</t>
  </si>
  <si>
    <t>20-221-808 ОП МП 05</t>
  </si>
  <si>
    <t>20-221-808 ОП МП 06</t>
  </si>
  <si>
    <t>20-221-808 ОП МП 07</t>
  </si>
  <si>
    <t>20-221-808 ОП МП 08</t>
  </si>
  <si>
    <t>20-221-808 ОП МП 09</t>
  </si>
  <si>
    <t>20-221-808 ОП МП 10</t>
  </si>
  <si>
    <t>20-221-808 ОП МП 11</t>
  </si>
  <si>
    <t>20-221-808 ОП МП 12</t>
  </si>
  <si>
    <t>20-221-808 ОП МП 13</t>
  </si>
  <si>
    <t>20-221-808 ОП МП 14</t>
  </si>
  <si>
    <t>20-221-808 ОП МП 15</t>
  </si>
  <si>
    <t>20-221-808 ОП МП 16</t>
  </si>
  <si>
    <t>20-221-808 ОП МП 17</t>
  </si>
  <si>
    <t>20-221-808 ОП МП 18</t>
  </si>
  <si>
    <t>20-221-808 ОП МП 19</t>
  </si>
  <si>
    <t>20-221-808 ОП МП 20</t>
  </si>
  <si>
    <t>20-221-808 ОП МП 21</t>
  </si>
  <si>
    <t>20-221-808 ОП МП 22</t>
  </si>
  <si>
    <t>20-221-808 ОП МП 23</t>
  </si>
  <si>
    <t>20-221-808 ОП МП 24</t>
  </si>
  <si>
    <t>20-221-808 ОП МП 25</t>
  </si>
  <si>
    <t>20-221-808 ОП МП 26</t>
  </si>
  <si>
    <t>20-221-808 ОП МП 27</t>
  </si>
  <si>
    <t>20-221-808 ОП МП 28</t>
  </si>
  <si>
    <t>20-221-808 ОП МП 29</t>
  </si>
  <si>
    <t>20-221-808 ОП МП 30</t>
  </si>
  <si>
    <t>20-221-808 ОП МП 31</t>
  </si>
  <si>
    <t>20-221-808 ОП МП 32</t>
  </si>
  <si>
    <t>20-221-808 ОП МП 33</t>
  </si>
  <si>
    <t>20-221-808 ОП МП 34</t>
  </si>
  <si>
    <t>20-221-808 ОП МП 35</t>
  </si>
  <si>
    <t>20-221-808 ОП МП 36</t>
  </si>
  <si>
    <t>20-221-808 ОП МП 37</t>
  </si>
  <si>
    <t>20-221-808 ОП МП 38</t>
  </si>
  <si>
    <t>20-221-808 ОП МП 39</t>
  </si>
  <si>
    <t>20-221-808 ОП МП 40</t>
  </si>
  <si>
    <t>20-221-808 ОП МП 41</t>
  </si>
  <si>
    <t>20-221-808 ОП МП 42</t>
  </si>
  <si>
    <t>20-221-808 ОП МП 43</t>
  </si>
  <si>
    <t>20-221-808 ОП МП 44</t>
  </si>
  <si>
    <t>20-221-808 ОП МП 45</t>
  </si>
  <si>
    <t>20-221-808 ОП МП 46</t>
  </si>
  <si>
    <t>20-221-808 ОП МП 47</t>
  </si>
  <si>
    <t>20-221-808 ОП МП 48</t>
  </si>
  <si>
    <t>20-221-808 ОП МП 49</t>
  </si>
  <si>
    <t>20-221-808 ОП МП 50</t>
  </si>
  <si>
    <t>20-221-808 ОП МП 51</t>
  </si>
  <si>
    <t>20-221-808 ОП МП 52</t>
  </si>
  <si>
    <t>20-221-808 ОП МП 53</t>
  </si>
  <si>
    <t>20-221-808 ОП МП 54</t>
  </si>
  <si>
    <t>20-221-808 ОП МП 55</t>
  </si>
  <si>
    <t>20-221-808 ОП МП 56</t>
  </si>
  <si>
    <t>20-221-808 ОП МП 57</t>
  </si>
  <si>
    <t>20-221-808 ОП МП 58</t>
  </si>
  <si>
    <t>20-221-808 ОП МП 59</t>
  </si>
  <si>
    <t>20-221-808 ОП МП 60</t>
  </si>
  <si>
    <t>20-221-808 ОП МП 61</t>
  </si>
  <si>
    <t>20-221-808 ОП МП 62</t>
  </si>
  <si>
    <t>20-221-808 ОП МП 63</t>
  </si>
  <si>
    <t>20-221-808 ОП МП 64</t>
  </si>
  <si>
    <t>20-221-808 ОП МП 65</t>
  </si>
  <si>
    <t>20-221-808 ОП МП 66</t>
  </si>
  <si>
    <t>20-221-808 ОП МП 67</t>
  </si>
  <si>
    <t>20-221-808 ОП МП 68</t>
  </si>
  <si>
    <t>20-221-808 ОП МП 69</t>
  </si>
  <si>
    <t>20-221-808 ОП МП 70</t>
  </si>
  <si>
    <t>20-221-808 ОП МП 71</t>
  </si>
  <si>
    <t>20-221-808 ОП МП 72</t>
  </si>
  <si>
    <t>20-221-808 ОП МП 73</t>
  </si>
  <si>
    <t>20-221-808 ОП МП 74</t>
  </si>
  <si>
    <t>20-221-808 ОП МП 75</t>
  </si>
  <si>
    <t>20-221-808 ОП МП 76</t>
  </si>
  <si>
    <t>20-221-808 ОП МП 77</t>
  </si>
  <si>
    <t>20-221-808 ОП МП 78</t>
  </si>
  <si>
    <t>20-221-808 ОП МП 79</t>
  </si>
  <si>
    <t>20-221-808 ОП МП 80</t>
  </si>
  <si>
    <t>20-221-808 ОП МП 81</t>
  </si>
  <si>
    <t>20-221-808 ОП МП 82</t>
  </si>
  <si>
    <t>20-221-808 ОП МП 83</t>
  </si>
  <si>
    <t>20-221-808 ОП МП 84</t>
  </si>
  <si>
    <t>20-221-808 ОП МП 85</t>
  </si>
  <si>
    <t>20-221-808 ОП МП 86</t>
  </si>
  <si>
    <t>20-221-808 ОП МП 87</t>
  </si>
  <si>
    <t>20-221-808 ОП МП 88</t>
  </si>
  <si>
    <t>20-221-808 ОП МП 89</t>
  </si>
  <si>
    <t>20-221-808 ОП МП 90</t>
  </si>
  <si>
    <t>20-221-808 ОП МП 91</t>
  </si>
  <si>
    <t>20-221-808 ОП МП 92</t>
  </si>
  <si>
    <t>20-221-808 ОП МП 93</t>
  </si>
  <si>
    <t>20-221-812 ОП МП 02</t>
  </si>
  <si>
    <t>20-221-812 ОП МП 03</t>
  </si>
  <si>
    <t>20-221-812 ОП МП 04</t>
  </si>
  <si>
    <t>20-221-812 ОП МП 05</t>
  </si>
  <si>
    <t>20-221-812 ОП МП 06</t>
  </si>
  <si>
    <t>20-221-812 ОП МП 07</t>
  </si>
  <si>
    <t>20-221-812 ОП МП 08</t>
  </si>
  <si>
    <t>20-221-812 ОП МП 09</t>
  </si>
  <si>
    <t>20-221-812 ОП МП 10</t>
  </si>
  <si>
    <t>20-221-812 ОП МП 11</t>
  </si>
  <si>
    <t>20-221-812 ОП МП 12</t>
  </si>
  <si>
    <t>20-221-812 ОП МП 13</t>
  </si>
  <si>
    <t>20-221-812 ОП МП 14</t>
  </si>
  <si>
    <t>20-221-812 ОП МП 15</t>
  </si>
  <si>
    <t>20-221-812 ОП МП 16</t>
  </si>
  <si>
    <t>20-221-812 ОП МП 17</t>
  </si>
  <si>
    <t>20-221-812 ОП МП 18</t>
  </si>
  <si>
    <t>20-221-812 ОП МП 19</t>
  </si>
  <si>
    <t>20-221-812 ОП МП 20</t>
  </si>
  <si>
    <t>20-221-812 ОП МП 21</t>
  </si>
  <si>
    <t>20-221-812 ОП МП 22</t>
  </si>
  <si>
    <t>20-221-812 ОП МП 23</t>
  </si>
  <si>
    <t>20-221-812 ОП МП 24</t>
  </si>
  <si>
    <t>20-221-812 ОП МП 25</t>
  </si>
  <si>
    <t>20-221-812 ОП МП 26</t>
  </si>
  <si>
    <t>20-221-812 ОП МП 27</t>
  </si>
  <si>
    <t>20-221-812 ОП МП 28</t>
  </si>
  <si>
    <t>20-221-812 ОП МП 29</t>
  </si>
  <si>
    <t>20-221-812 ОП МП 30</t>
  </si>
  <si>
    <t>20-221-812 ОП МП 31</t>
  </si>
  <si>
    <t>20-221-812 ОП МП 32</t>
  </si>
  <si>
    <t>20-221-812 ОП МП 33</t>
  </si>
  <si>
    <t>20-221-812 ОП МП 34</t>
  </si>
  <si>
    <t>20-221-812 ОП МП 35</t>
  </si>
  <si>
    <t>20-221-812 ОП МП 36</t>
  </si>
  <si>
    <t>20-221-812 ОП МП 37</t>
  </si>
  <si>
    <t>20-221-812 ОП МП 38</t>
  </si>
  <si>
    <t>20-221-812 ОП МП 39</t>
  </si>
  <si>
    <t>20-221-812 ОП МП 40</t>
  </si>
  <si>
    <t>20-221-812 ОП МП 41</t>
  </si>
  <si>
    <t>20-221-812 ОП МП 42</t>
  </si>
  <si>
    <t>20-221-812 ОП МП 43</t>
  </si>
  <si>
    <t>20-221-812 ОП МП 44</t>
  </si>
  <si>
    <t>20-221-812 ОП МП 45</t>
  </si>
  <si>
    <t>20-221-812 ОП МП 46</t>
  </si>
  <si>
    <t>20-221-816 ОП МП 01</t>
  </si>
  <si>
    <t>20-221-816 ОП МП 02</t>
  </si>
  <si>
    <t>20-221-816 ОП МП 03</t>
  </si>
  <si>
    <t>20-221-816 ОП МП 04</t>
  </si>
  <si>
    <t>20-221-816 ОП МП 05</t>
  </si>
  <si>
    <t>20-221-816 ОП МП 06</t>
  </si>
  <si>
    <t>20-221-816 ОП МП 07</t>
  </si>
  <si>
    <t>20-221-816 ОП МП 08</t>
  </si>
  <si>
    <t>20-221-816 ОП МП 09</t>
  </si>
  <si>
    <t>20-221-816 ОП МП 10</t>
  </si>
  <si>
    <t>20-221-816 ОП МП 11</t>
  </si>
  <si>
    <t>20-221-816 ОП МП 12</t>
  </si>
  <si>
    <t>20-221-816 ОП МП 13</t>
  </si>
  <si>
    <t>20-221-816 ОП МП 14</t>
  </si>
  <si>
    <t>20-221-816 ОП МП 15</t>
  </si>
  <si>
    <t>20-221-816 ОП МП 16</t>
  </si>
  <si>
    <t>20-221-816 ОП МП 17</t>
  </si>
  <si>
    <t>20-221-816 ОП МП 18</t>
  </si>
  <si>
    <t>20-221-816 ОП МП 19</t>
  </si>
  <si>
    <t>20-221-816 ОП МП 20</t>
  </si>
  <si>
    <t>20-221-816 ОП МП 21</t>
  </si>
  <si>
    <t>20-221-816 ОП МП 22</t>
  </si>
  <si>
    <t>20-221-816 ОП МП 23</t>
  </si>
  <si>
    <t>20-221-816 ОП МП 24</t>
  </si>
  <si>
    <t>20-221-816 ОП МП 25</t>
  </si>
  <si>
    <t>20-221-816 ОП МП 26</t>
  </si>
  <si>
    <t>20-221-816 ОП МП 27</t>
  </si>
  <si>
    <t>20-221-816 ОП МП 28</t>
  </si>
  <si>
    <t>20-221-816 ОП МП 29</t>
  </si>
  <si>
    <t>20-221-816 ОП МП 30</t>
  </si>
  <si>
    <t>20-221-816 ОП МП 31</t>
  </si>
  <si>
    <t>20-221-816 ОП МП 32</t>
  </si>
  <si>
    <t>20-221-816 ОП МП 33</t>
  </si>
  <si>
    <t>20-221-816 ОП МП 34</t>
  </si>
  <si>
    <t>20-221-816 ОП МП 35</t>
  </si>
  <si>
    <t>20-221-816 ОП МП 36</t>
  </si>
  <si>
    <t>20-221-816 ОП МП 37</t>
  </si>
  <si>
    <t>20-221-816 ОП МП 38</t>
  </si>
  <si>
    <t>20-221-816 ОП МП 39</t>
  </si>
  <si>
    <t>20-221-816 ОП МП 40</t>
  </si>
  <si>
    <t>20-221-816 ОП МП 41</t>
  </si>
  <si>
    <t>20-221-816 ОП МП 42</t>
  </si>
  <si>
    <t>20-221-816 ОП МП 43</t>
  </si>
  <si>
    <t>20-221-816 ОП МП 44</t>
  </si>
  <si>
    <t>20-221-816 ОП МП 45</t>
  </si>
  <si>
    <t>20-221-816 ОП МП 46</t>
  </si>
  <si>
    <t>20-221-816 ОП МП 47</t>
  </si>
  <si>
    <t>20-221-816 ОП МП 48</t>
  </si>
  <si>
    <t>20-221-816 ОП МП 49</t>
  </si>
  <si>
    <t>20-221-816 ОП МП 50</t>
  </si>
  <si>
    <t>20-221-816 ОП МП 51</t>
  </si>
  <si>
    <t>20-221-816 ОП МП 52</t>
  </si>
  <si>
    <t>20-221-816 ОП МП 53</t>
  </si>
  <si>
    <t>20-221-816 ОП МП 54</t>
  </si>
  <si>
    <t>20-221-816 ОП МП 55</t>
  </si>
  <si>
    <t>20-221-816 ОП МП 56</t>
  </si>
  <si>
    <t>20-221-816 ОП МП 57</t>
  </si>
  <si>
    <t>20-221-816 ОП МП 58</t>
  </si>
  <si>
    <t>20-221-816 ОП МП 59</t>
  </si>
  <si>
    <t>20-221-816 ОП МП 60</t>
  </si>
  <si>
    <t>20-221-816 ОП МП 61</t>
  </si>
  <si>
    <t>20-221-816 ОП МП 62</t>
  </si>
  <si>
    <t>20-221-816 ОП МП 63</t>
  </si>
  <si>
    <t>20-221-816 ОП МП 64</t>
  </si>
  <si>
    <t>20-221-816 ОП МП 65</t>
  </si>
  <si>
    <t>20-221-816 ОП МП 66</t>
  </si>
  <si>
    <t>20-221-816 ОП МП 67</t>
  </si>
  <si>
    <t>20-221-816 ОП МП 68</t>
  </si>
  <si>
    <t>20-221-816 ОП МП 69</t>
  </si>
  <si>
    <t>20-221-816 ОП МП 70</t>
  </si>
  <si>
    <t>20-221-816 ОП МП 71</t>
  </si>
  <si>
    <t>20-221-816 ОП МП 72</t>
  </si>
  <si>
    <t>20-221-816 ОП МП 73</t>
  </si>
  <si>
    <t>20-221-816 ОП МП 74</t>
  </si>
  <si>
    <t>20-221-816 ОП МП 75</t>
  </si>
  <si>
    <t>20-221-816 ОП МП 76</t>
  </si>
  <si>
    <t>20-221-816 ОП МП 77</t>
  </si>
  <si>
    <t>20-221-816 ОП МП 78</t>
  </si>
  <si>
    <t>20-221-816 ОП МП 79</t>
  </si>
  <si>
    <t>20-221-816 ОП МП 80</t>
  </si>
  <si>
    <t>20-221-816 ОП МП 81</t>
  </si>
  <si>
    <t>20-221-816 ОП МП 82</t>
  </si>
  <si>
    <t>20-221-816 ОП МП 83</t>
  </si>
  <si>
    <t>20-221-816 ОП МП 84</t>
  </si>
  <si>
    <t>20-221-816 ОП МП 85</t>
  </si>
  <si>
    <t>20-221-816 ОП МП 86</t>
  </si>
  <si>
    <t>20-221-816 ОП МП 87</t>
  </si>
  <si>
    <t>20-221-816 ОП МП 88</t>
  </si>
  <si>
    <t>20-221-816 ОП МП 89</t>
  </si>
  <si>
    <t>20-221-816 ОП МП 90</t>
  </si>
  <si>
    <t>20-221-816 ОП МП 91</t>
  </si>
  <si>
    <t>20-221-816 ОП МП 92</t>
  </si>
  <si>
    <t>20-221-816 ОП МП 93</t>
  </si>
  <si>
    <t>20-221-816 ОП МП 94</t>
  </si>
  <si>
    <t>20-221-816 ОП МП 95</t>
  </si>
  <si>
    <t>20-221-816 ОП МП 96</t>
  </si>
  <si>
    <t>20-221-816 ОП МП 97</t>
  </si>
  <si>
    <t>20-221-820 ОП МП 01</t>
  </si>
  <si>
    <t>20-221-820 ОП МП 02</t>
  </si>
  <si>
    <t>20-221-820 ОП МП 03</t>
  </si>
  <si>
    <t>20-221-820 ОП МП 04</t>
  </si>
  <si>
    <t>20-221-820 ОП МП 05</t>
  </si>
  <si>
    <t>20-221-820 ОП МП 06</t>
  </si>
  <si>
    <t>20-221-820 ОП МП 07</t>
  </si>
  <si>
    <t>20-221-820 ОП МП 08</t>
  </si>
  <si>
    <t>20-221-820 ОП МП 09</t>
  </si>
  <si>
    <t>20-221-820 ОП МП 10</t>
  </si>
  <si>
    <t>20-221-820 ОП МП 11</t>
  </si>
  <si>
    <t>20-221-820 ОП МП 12</t>
  </si>
  <si>
    <t>20-221-820 ОП МП 13</t>
  </si>
  <si>
    <t>20-221-820 ОП МП 14</t>
  </si>
  <si>
    <t>20-221-820 ОП МП 15</t>
  </si>
  <si>
    <t>20-221-820 ОП МП 16</t>
  </si>
  <si>
    <t>20-221-820 ОП МП 17</t>
  </si>
  <si>
    <t>20-221-820 ОП МП 18</t>
  </si>
  <si>
    <t>20-221-820 ОП МП 19</t>
  </si>
  <si>
    <t>20-221-820 ОП МП 20</t>
  </si>
  <si>
    <t>20-221-820 ОП МП 21</t>
  </si>
  <si>
    <t>20-221-820 ОП МП 22</t>
  </si>
  <si>
    <t>20-221-820 ОП МП 23</t>
  </si>
  <si>
    <t>20-221-820 ОП МП 24</t>
  </si>
  <si>
    <t>20-221-820 ОП МП 25</t>
  </si>
  <si>
    <t>20-221-820 ОП МП 26</t>
  </si>
  <si>
    <t>20-221-820 ОП МП 27</t>
  </si>
  <si>
    <t>20-221-820 ОП МП 28</t>
  </si>
  <si>
    <t>20-221-820 ОП МП 29</t>
  </si>
  <si>
    <t>20-221-820 ОП МП 30</t>
  </si>
  <si>
    <t>20-221-820 ОП МП 31</t>
  </si>
  <si>
    <t>20-221-820 ОП МП 32</t>
  </si>
  <si>
    <t>20-221-820 ОП МП 33</t>
  </si>
  <si>
    <t>20-221-820 ОП МП 34</t>
  </si>
  <si>
    <t>20-221-820 ОП МП 35</t>
  </si>
  <si>
    <t>20-221-820 ОП МП 36</t>
  </si>
  <si>
    <t>20-221-820 ОП МП 37</t>
  </si>
  <si>
    <t>20-221-820 ОП МП 38</t>
  </si>
  <si>
    <t>20-221-820 ОП МП 39</t>
  </si>
  <si>
    <t>20-221-820 ОП МП 40</t>
  </si>
  <si>
    <t>20-221-820 ОП МП 41</t>
  </si>
  <si>
    <t>20-221-820 ОП МП 42</t>
  </si>
  <si>
    <t>20-221-820 ОП МП 43</t>
  </si>
  <si>
    <t>20-221-820 ОП МП 44</t>
  </si>
  <si>
    <t>20-221-820 ОП МП 45</t>
  </si>
  <si>
    <t>20-221-820 ОП МП 46</t>
  </si>
  <si>
    <t>20-221-820 ОП МП 47</t>
  </si>
  <si>
    <t>20-221-822 ОП МП 01</t>
  </si>
  <si>
    <t>20-221-822 ОП МП 02</t>
  </si>
  <si>
    <t>20-221-822 ОП МП 03</t>
  </si>
  <si>
    <t>20-221-822 ОП МП 04</t>
  </si>
  <si>
    <t>20-221-822 ОП МП 05</t>
  </si>
  <si>
    <t>20-221-822 ОП МП 06</t>
  </si>
  <si>
    <t>20-221-822 ОП МП 07</t>
  </si>
  <si>
    <t>20-221-822 ОП МП 08</t>
  </si>
  <si>
    <t>20-221-822 ОП МП 09</t>
  </si>
  <si>
    <t>20-221-822 ОП МП 10</t>
  </si>
  <si>
    <t>20-221-822 ОП МП 11</t>
  </si>
  <si>
    <t>20-221-822 ОП МП 12</t>
  </si>
  <si>
    <t>20-221-822 ОП МП 13</t>
  </si>
  <si>
    <t>20-221-822 ОП МП 14</t>
  </si>
  <si>
    <t>20-221-822 ОП МП 15</t>
  </si>
  <si>
    <t>20-221-822 ОП МП 16</t>
  </si>
  <si>
    <t>20-221-822 ОП МП 17</t>
  </si>
  <si>
    <t>20-221-822 ОП МП 18</t>
  </si>
  <si>
    <t>20-221-822 ОП МП 19</t>
  </si>
  <si>
    <t>20-221-822 ОП МП 20</t>
  </si>
  <si>
    <t>20-221-822 ОП МП 21</t>
  </si>
  <si>
    <t>20-221-822 ОП МП 22</t>
  </si>
  <si>
    <t>20-221-822 ОП МП 23</t>
  </si>
  <si>
    <t>20-221-822 ОП МП 24</t>
  </si>
  <si>
    <t>20-221-822 ОП МП 25</t>
  </si>
  <si>
    <t>20-221-822 ОП МП 26</t>
  </si>
  <si>
    <t>20-221-822 ОП МП 27</t>
  </si>
  <si>
    <t>20-221-822 ОП МП 28</t>
  </si>
  <si>
    <t>20-221-822 ОП МП 29</t>
  </si>
  <si>
    <t>20-221-822 ОП МП 30</t>
  </si>
  <si>
    <t>20-221-822 ОП МП 31</t>
  </si>
  <si>
    <t>20-221-822 ОП МП 32</t>
  </si>
  <si>
    <t>20-221-822 ОП МП 33</t>
  </si>
  <si>
    <t>20-221-822 ОП МП 34</t>
  </si>
  <si>
    <t>20-221-822 ОП МП 35</t>
  </si>
  <si>
    <t>20-221-822 ОП МП 36</t>
  </si>
  <si>
    <t>20-221-822 ОП МП 37</t>
  </si>
  <si>
    <t>20-221-822 ОП МП 38</t>
  </si>
  <si>
    <t>20-221-822 ОП МП 39</t>
  </si>
  <si>
    <t>20-221-822 ОП МП 40</t>
  </si>
  <si>
    <t>20-221-822 ОП МП 41</t>
  </si>
  <si>
    <t>20-221-824 ОП МП 01</t>
  </si>
  <si>
    <t>20-221-824 ОП МП 02</t>
  </si>
  <si>
    <t>20-221-824 ОП МП 03</t>
  </si>
  <si>
    <t>20-221-824 ОП МП 04</t>
  </si>
  <si>
    <t>20-221-824 ОП МП 05</t>
  </si>
  <si>
    <t>20-221-824 ОП МП 06</t>
  </si>
  <si>
    <t>20-221-824 ОП МП 07</t>
  </si>
  <si>
    <t>20-221-824 ОП МП 08</t>
  </si>
  <si>
    <t>20-221-824 ОП МП 09</t>
  </si>
  <si>
    <t>20-221-824 ОП МП 10</t>
  </si>
  <si>
    <t>20-221-824 ОП МП 11</t>
  </si>
  <si>
    <t>20-221-824 ОП МП 12</t>
  </si>
  <si>
    <t>20-221-824 ОП МП 13</t>
  </si>
  <si>
    <t>20-221-824 ОП МП 14</t>
  </si>
  <si>
    <t>20-221-824 ОП МП 15</t>
  </si>
  <si>
    <t>20-221-824 ОП МП 16</t>
  </si>
  <si>
    <t>20-221-824 ОП МП 17</t>
  </si>
  <si>
    <t>20-221-824 ОП МП 18</t>
  </si>
  <si>
    <t>20-221-824 ОП МП 19</t>
  </si>
  <si>
    <t>20-221-824 ОП МП 20</t>
  </si>
  <si>
    <t>20-221-824 ОП МП 21</t>
  </si>
  <si>
    <t>20-221-824 ОП МП 22</t>
  </si>
  <si>
    <t>20-221-828 ОП МП 01</t>
  </si>
  <si>
    <t>20-221-828 ОП МП 02</t>
  </si>
  <si>
    <t>20-221-828 ОП МП 03</t>
  </si>
  <si>
    <t>20-221-828 ОП МП 04</t>
  </si>
  <si>
    <t>20-221-828 ОП МП 05</t>
  </si>
  <si>
    <t>20-221-828 ОП МП 06</t>
  </si>
  <si>
    <t>20-221-828 ОП МП 07</t>
  </si>
  <si>
    <t>20-221-828 ОП МП 08</t>
  </si>
  <si>
    <t>20-221-828 ОП МП 09</t>
  </si>
  <si>
    <t>20-221-828 ОП МП 10</t>
  </si>
  <si>
    <t>20-221-828 ОП МП 11</t>
  </si>
  <si>
    <t>20-221-828 ОП МП 12</t>
  </si>
  <si>
    <t>20-221-828 ОП МП 13</t>
  </si>
  <si>
    <t>20-221-828 ОП МП 14</t>
  </si>
  <si>
    <t>20-221-828 ОП МП 15</t>
  </si>
  <si>
    <t>20-221-828 ОП МП 16</t>
  </si>
  <si>
    <t>20-221-828 ОП МП 17</t>
  </si>
  <si>
    <t>20-221-828 ОП МП 18</t>
  </si>
  <si>
    <t>20-221-828 ОП МП 19</t>
  </si>
  <si>
    <t>20-221-828 ОП МП 20</t>
  </si>
  <si>
    <t>20-221-828 ОП МП 21</t>
  </si>
  <si>
    <t>20-221-830 ОП МП 01</t>
  </si>
  <si>
    <t>20-221-830 ОП МП 02</t>
  </si>
  <si>
    <t>20-221-830 ОП МП 03</t>
  </si>
  <si>
    <t>20-221-830 ОП МП 04</t>
  </si>
  <si>
    <t>20-221-830 ОП МП 05</t>
  </si>
  <si>
    <t>20-221-830 ОП МП 06</t>
  </si>
  <si>
    <t>20-221-830 ОП МП 07</t>
  </si>
  <si>
    <t>20-221-830 ОП МП 08</t>
  </si>
  <si>
    <t>20-221-830 ОП МП 09</t>
  </si>
  <si>
    <t>20-221-830 ОП МП 10</t>
  </si>
  <si>
    <t>20-221-830 ОП МП 11</t>
  </si>
  <si>
    <t>20-221-830 ОП МП 12</t>
  </si>
  <si>
    <t>20-221-830 ОП МП 13</t>
  </si>
  <si>
    <t>20-221-830 ОП МП 14</t>
  </si>
  <si>
    <t>20-221-830 ОП МП 15</t>
  </si>
  <si>
    <t>20-221-830 ОП МП 16</t>
  </si>
  <si>
    <t>20-221-830 ОП МП 17</t>
  </si>
  <si>
    <t>20-221-830 ОП МП 18</t>
  </si>
  <si>
    <t>20-221-830 ОП МП 19</t>
  </si>
  <si>
    <t>20-221-830 ОП МП 20</t>
  </si>
  <si>
    <t>20-221-830 ОП МП 21</t>
  </si>
  <si>
    <t>20-221-830 ОП МП 22</t>
  </si>
  <si>
    <t>20-221-830 ОП МП 23</t>
  </si>
  <si>
    <t>20-221-830 ОП МП 24</t>
  </si>
  <si>
    <t>20-221-830 ОП МП 25</t>
  </si>
  <si>
    <t>20-221-830 ОП МП 26</t>
  </si>
  <si>
    <t>20-221-830 ОП МП 27</t>
  </si>
  <si>
    <t>20-221-830 ОП МП 28</t>
  </si>
  <si>
    <t>20-221-830 ОП МП 29</t>
  </si>
  <si>
    <t>20-221-830 ОП МП 30</t>
  </si>
  <si>
    <t>20-221-830 ОП МП 31</t>
  </si>
  <si>
    <t>20-221-830 ОП МП 32</t>
  </si>
  <si>
    <t>20-221-830 ОП МП 33</t>
  </si>
  <si>
    <t>20-221-830 ОП МП 34</t>
  </si>
  <si>
    <t>20-221-830 ОП МП 35</t>
  </si>
  <si>
    <t>20-221-830 ОП МП 36</t>
  </si>
  <si>
    <t>20-221-830 ОП МП 37</t>
  </si>
  <si>
    <t>20-221-830 ОП МП 38</t>
  </si>
  <si>
    <t>20-221-830 ОП МП 39</t>
  </si>
  <si>
    <t>20-221-830 ОП МП 40</t>
  </si>
  <si>
    <t>20-221-830 ОП МП 41</t>
  </si>
  <si>
    <t>20-221-830 ОП МП 42</t>
  </si>
  <si>
    <t>20-221-830 ОП МП 43</t>
  </si>
  <si>
    <t>20-221-830 ОП МП 44</t>
  </si>
  <si>
    <t>20-221-830 ОП МП 45</t>
  </si>
  <si>
    <t>20-221-830 ОП МП 46</t>
  </si>
  <si>
    <t>20-221-830 ОП МП 47</t>
  </si>
  <si>
    <t>20-221-830 ОП МП 48</t>
  </si>
  <si>
    <t>20-221-830 ОП МП 49</t>
  </si>
  <si>
    <t>20-221-830 ОП МП 50</t>
  </si>
  <si>
    <t>20-221-830 ОП МП 51</t>
  </si>
  <si>
    <t>20-221-830 ОП МП 52</t>
  </si>
  <si>
    <t>20-221-830 ОП МП 53</t>
  </si>
  <si>
    <t>20-221-830 ОП МП 54</t>
  </si>
  <si>
    <t>20-221-830 ОП МП 55</t>
  </si>
  <si>
    <t>20-221-830 ОП МП 56</t>
  </si>
  <si>
    <t>20-221-830 ОП МП 57</t>
  </si>
  <si>
    <t>20-221-830 ОП МП 58</t>
  </si>
  <si>
    <t>20-221-830 ОП МП 59</t>
  </si>
  <si>
    <t>20-221-830 ОП МП 60</t>
  </si>
  <si>
    <t>20-221-830 ОП МП 61</t>
  </si>
  <si>
    <t>20-221-830 ОП МП 62</t>
  </si>
  <si>
    <t>20-221-830 ОП МП 63</t>
  </si>
  <si>
    <t>20-221-830 ОП МП 64</t>
  </si>
  <si>
    <t>20-221-830 ОП МП 65</t>
  </si>
  <si>
    <t>20-221-830 ОП МП 66</t>
  </si>
  <si>
    <t>20-221-830 ОП МП 67</t>
  </si>
  <si>
    <t>20-221-830 ОП МП 68</t>
  </si>
  <si>
    <t>20-221-830 ОП МП 69</t>
  </si>
  <si>
    <t>20-221-836 ОП МП 01</t>
  </si>
  <si>
    <t>20-221-836 ОП МП 02</t>
  </si>
  <si>
    <t>20-221-836 ОП МП 03</t>
  </si>
  <si>
    <t>20-221-836 ОП МП 04</t>
  </si>
  <si>
    <t>20-221-836 ОП МП 05</t>
  </si>
  <si>
    <t>20-221-836 ОП МП 06</t>
  </si>
  <si>
    <t>20-221-836 ОП МП 07</t>
  </si>
  <si>
    <t>20-221-836 ОП МП 08</t>
  </si>
  <si>
    <t>20-221-836 ОП МП 09</t>
  </si>
  <si>
    <t>20-221-836 ОП МП 10</t>
  </si>
  <si>
    <t>20-221-836 ОП МП 11</t>
  </si>
  <si>
    <t>20-221-836 ОП МП 12</t>
  </si>
  <si>
    <t>20-221-836 ОП МП 13</t>
  </si>
  <si>
    <t>20-221-836 ОП МП 14</t>
  </si>
  <si>
    <t>20-221-836 ОП МП 15</t>
  </si>
  <si>
    <t>20-221-836 ОП МП 16</t>
  </si>
  <si>
    <t>20-221-836 ОП МП 17</t>
  </si>
  <si>
    <t>20-221-836 ОП МП 18</t>
  </si>
  <si>
    <t>20-221-836 ОП МП 19</t>
  </si>
  <si>
    <t>20-221-836 ОП МП 20</t>
  </si>
  <si>
    <t>20-221-836 ОП МП 21</t>
  </si>
  <si>
    <t>20-221-836 ОП МП 22</t>
  </si>
  <si>
    <t>20-221-836 ОП МП 23</t>
  </si>
  <si>
    <t>20-221-836 ОП МП 24</t>
  </si>
  <si>
    <t>20-221-836 ОП МП 25</t>
  </si>
  <si>
    <t>20-221-836 ОП МП 26</t>
  </si>
  <si>
    <t>20-221-836 ОП МП 27</t>
  </si>
  <si>
    <t>20-221-836 ОП МП 28</t>
  </si>
  <si>
    <t>20-221-836 ОП МП 29</t>
  </si>
  <si>
    <t>20-221-836 ОП МП 30</t>
  </si>
  <si>
    <t>20-221-836 ОП МП 31</t>
  </si>
  <si>
    <t>20-221-836 ОП МП 32</t>
  </si>
  <si>
    <t>20-221-836 ОП МП 33</t>
  </si>
  <si>
    <t>20-221-836 ОП МП 34</t>
  </si>
  <si>
    <t>20-221-836 ОП МП 35</t>
  </si>
  <si>
    <t>20-221-836 ОП МП 36</t>
  </si>
  <si>
    <t>20-221-836 ОП МП 37</t>
  </si>
  <si>
    <t>20-221-836 ОП МП 38</t>
  </si>
  <si>
    <t>20-221-836 ОП МП 39</t>
  </si>
  <si>
    <t>20-221-836 ОП МП 40</t>
  </si>
  <si>
    <t>20-221-836 ОП МП 41</t>
  </si>
  <si>
    <t>20-221-836 ОП МП 42</t>
  </si>
  <si>
    <t>20-221-836 ОП МП 43</t>
  </si>
  <si>
    <t>20-221-836 ОП МП 44</t>
  </si>
  <si>
    <t>20-221-836 ОП МП 45</t>
  </si>
  <si>
    <t>20-221-840 ОП МП 01</t>
  </si>
  <si>
    <t>20-221-840 ОП МП 02</t>
  </si>
  <si>
    <t>20-221-840 ОП МП 03</t>
  </si>
  <si>
    <t>20-221-840 ОП МП 04</t>
  </si>
  <si>
    <t>20-221-840 ОП МП 05</t>
  </si>
  <si>
    <t>20-221-840 ОП МП 06</t>
  </si>
  <si>
    <t>20-221-840 ОП МП 07</t>
  </si>
  <si>
    <t>20-221-840 ОП МП 08</t>
  </si>
  <si>
    <t>20-221-840 ОП МП 09</t>
  </si>
  <si>
    <t>20-221-840 ОП МП 10</t>
  </si>
  <si>
    <t>20-221-840 ОП МП 11</t>
  </si>
  <si>
    <t>20-221-840 ОП МП 12</t>
  </si>
  <si>
    <t>20-221-840 ОП МП 13</t>
  </si>
  <si>
    <t>20-221-840 ОП МП 14</t>
  </si>
  <si>
    <t>20-221-840 ОП МП 15</t>
  </si>
  <si>
    <t>20-221-840 ОП МП 16</t>
  </si>
  <si>
    <t>20-221-840 ОП МП 17</t>
  </si>
  <si>
    <t>20-221-840 ОП МП 18</t>
  </si>
  <si>
    <t>20-221-840 ОП МП 19</t>
  </si>
  <si>
    <t>20-221-840 ОП МП 20</t>
  </si>
  <si>
    <t>20-221-840 ОП МП 21</t>
  </si>
  <si>
    <t>20-221-840 ОП МП 22</t>
  </si>
  <si>
    <t>20-221-840 ОП МП 23</t>
  </si>
  <si>
    <t>20-221-840 ОП МП 24</t>
  </si>
  <si>
    <t>20-221-840 ОП МП 25</t>
  </si>
  <si>
    <t>20-221-848 ОП МП 01</t>
  </si>
  <si>
    <t>20-221-848 ОП МП 02</t>
  </si>
  <si>
    <t>20-221-848 ОП МП 03</t>
  </si>
  <si>
    <t>20-221-848 ОП МП 04</t>
  </si>
  <si>
    <t>20-221-848 ОП МП 05</t>
  </si>
  <si>
    <t>20-221-848 ОП МП 06</t>
  </si>
  <si>
    <t>20-221-848 ОП МП 07</t>
  </si>
  <si>
    <t>20-221-848 ОП МП 08</t>
  </si>
  <si>
    <t>20-221-848 ОП МП 09</t>
  </si>
  <si>
    <t>20-221-848 ОП МП 10</t>
  </si>
  <si>
    <t>20-221-848 ОП МП 11</t>
  </si>
  <si>
    <t>20-221-848 ОП МП 12</t>
  </si>
  <si>
    <t>20-221-848 ОП МП 13</t>
  </si>
  <si>
    <t>20-221-848 ОП МП 14</t>
  </si>
  <si>
    <t>20-221-848 ОП МП 15</t>
  </si>
  <si>
    <t>20-221-848 ОП МП 16</t>
  </si>
  <si>
    <t>20-221-848 ОП МП 17</t>
  </si>
  <si>
    <t>20-221-848 ОП МП 18</t>
  </si>
  <si>
    <t>20-221-848 ОП МП 19</t>
  </si>
  <si>
    <t>20-221-848 ОП МП 20</t>
  </si>
  <si>
    <t>20-221-848 ОП МП 21</t>
  </si>
  <si>
    <t>20-221-848 ОП МП 22</t>
  </si>
  <si>
    <t>20-221-848 ОП МП 23</t>
  </si>
  <si>
    <t>20-221-848 ОП МП 24</t>
  </si>
  <si>
    <t>20-221-848 ОП МП 25</t>
  </si>
  <si>
    <t>20-221-848 ОП МП 26</t>
  </si>
  <si>
    <t>20-221-848 ОП МП 27</t>
  </si>
  <si>
    <t>20-221-848 ОП МП 28</t>
  </si>
  <si>
    <t>20-221-848 ОП МП 29</t>
  </si>
  <si>
    <t>20-221-848 ОП МП 30</t>
  </si>
  <si>
    <t>20-221-848 ОП МП 31</t>
  </si>
  <si>
    <t>20-221-848 ОП МП 32</t>
  </si>
  <si>
    <t>20-221-848 ОП МП 33</t>
  </si>
  <si>
    <t>20-221-848 ОП МП 34</t>
  </si>
  <si>
    <t>20-221-848 ОП МП 35</t>
  </si>
  <si>
    <t>20-221-848 ОП МП 36</t>
  </si>
  <si>
    <t>20-221-848 ОП МП 37</t>
  </si>
  <si>
    <t>20-221-848 ОП МП 38</t>
  </si>
  <si>
    <t>20-221-848 ОП МП 39</t>
  </si>
  <si>
    <t>20-221-848 ОП МП 40</t>
  </si>
  <si>
    <t>20-221-848 ОП МП 41</t>
  </si>
  <si>
    <t>20-221-848 ОП МП 42</t>
  </si>
  <si>
    <t>20-221-848 ОП МП 43</t>
  </si>
  <si>
    <t>20-221-848 ОП МП 44</t>
  </si>
  <si>
    <t>20-221-848 ОП МП 45</t>
  </si>
  <si>
    <t>20-221-848 ОП МП 46</t>
  </si>
  <si>
    <t>20-221-848 ОП МП 47</t>
  </si>
  <si>
    <t>20-221-852 ОП МП 01</t>
  </si>
  <si>
    <t>20-221-852 ОП МП 02</t>
  </si>
  <si>
    <t>20-221-852 ОП МП 03</t>
  </si>
  <si>
    <t>20-221-852 ОП МП 04</t>
  </si>
  <si>
    <t>20-221-852 ОП МП 05</t>
  </si>
  <si>
    <t>20-221-852 ОП МП 06</t>
  </si>
  <si>
    <t>20-221-852 ОП МП 07</t>
  </si>
  <si>
    <t>20-221-852 ОП МП 08</t>
  </si>
  <si>
    <t>20-221-852 ОП МП 09</t>
  </si>
  <si>
    <t>20-221-852 ОП МП 10</t>
  </si>
  <si>
    <t>20-221-852 ОП МП 11</t>
  </si>
  <si>
    <t>20-221-852 ОП МП 12</t>
  </si>
  <si>
    <t>20-221-852 ОП МП 13</t>
  </si>
  <si>
    <t>20-221-852 ОП МП 14</t>
  </si>
  <si>
    <t>20-221-852 ОП МП 15</t>
  </si>
  <si>
    <t>20-221-852 ОП МП 16</t>
  </si>
  <si>
    <t>20-221-852 ОП МП 17</t>
  </si>
  <si>
    <t>20-221-852 ОП МП 18</t>
  </si>
  <si>
    <t>20-221-852 ОП МП 19</t>
  </si>
  <si>
    <t>20-221-852 ОП МП 20</t>
  </si>
  <si>
    <t>20-221-852 ОП МП 21</t>
  </si>
  <si>
    <t>20-221-852 ОП МП 22</t>
  </si>
  <si>
    <t>20-221-852 ОП МП 23</t>
  </si>
  <si>
    <t>20-221-852 ОП МП 24</t>
  </si>
  <si>
    <t>20-221-852 ОП МП 25</t>
  </si>
  <si>
    <t>20-221-852 ОП МП 26</t>
  </si>
  <si>
    <t>20-221-852 ОП МП 27</t>
  </si>
  <si>
    <t>20-221-852 ОП МП 28</t>
  </si>
  <si>
    <t>20-221-852 ОП МП 29</t>
  </si>
  <si>
    <t>20-221-852 ОП МП 30</t>
  </si>
  <si>
    <t>20-221-852 ОП МП 31</t>
  </si>
  <si>
    <t>20-221-852 ОП МП 32</t>
  </si>
  <si>
    <t>20-221-852 ОП МП 33</t>
  </si>
  <si>
    <t>20-221-852 ОП МП 34</t>
  </si>
  <si>
    <t>20-221-852 ОП МП 35</t>
  </si>
  <si>
    <t>20-221-852 ОП МП 36</t>
  </si>
  <si>
    <t>20-221-852 ОП МП 37</t>
  </si>
  <si>
    <t>20-221-852 ОП МП 38</t>
  </si>
  <si>
    <t>20-221-856 ОП МП 01</t>
  </si>
  <si>
    <t>20-221-856 ОП МП 02</t>
  </si>
  <si>
    <t>20-221-856 ОП МП 03</t>
  </si>
  <si>
    <t>20-221-856 ОП МП 04</t>
  </si>
  <si>
    <t>20-221-856 ОП МП 05</t>
  </si>
  <si>
    <t>20-221-856 ОП МП 06</t>
  </si>
  <si>
    <t>20-221-856 ОП МП 07</t>
  </si>
  <si>
    <t>20-221-856 ОП МП 08</t>
  </si>
  <si>
    <t>20-221-856 ОП МП 09</t>
  </si>
  <si>
    <t>20-221-856 ОП МП 10</t>
  </si>
  <si>
    <t>20-221-856 ОП МП 11</t>
  </si>
  <si>
    <t>20-221-856 ОП МП 12</t>
  </si>
  <si>
    <t>20-221-856 ОП МП 13</t>
  </si>
  <si>
    <t>20-221-856 ОП МП 14</t>
  </si>
  <si>
    <t>20-221-856 ОП МП 15</t>
  </si>
  <si>
    <t>20-221-856 ОП МП 16</t>
  </si>
  <si>
    <t>20-221-856 ОП МП 17</t>
  </si>
  <si>
    <t>20-221-856 ОП МП 18</t>
  </si>
  <si>
    <t>20-221-856 ОП МП 19</t>
  </si>
  <si>
    <t>20-221-856 ОП МП 20</t>
  </si>
  <si>
    <t>20-221-856 ОП МП 21</t>
  </si>
  <si>
    <t>20-221-856 ОП МП 22</t>
  </si>
  <si>
    <t>20-221-856 ОП МП 23</t>
  </si>
  <si>
    <t>20-221-856 ОП МП 24</t>
  </si>
  <si>
    <t>20-221-856 ОП МП 25</t>
  </si>
  <si>
    <t>20-221-856 ОП МП 26</t>
  </si>
  <si>
    <t>20-221-856 ОП МП 27</t>
  </si>
  <si>
    <t>20-221-856 ОП МП 28</t>
  </si>
  <si>
    <t>20-221-856 ОП МП 29</t>
  </si>
  <si>
    <t>20-221-856 ОП МП 30</t>
  </si>
  <si>
    <t>20-221-856 ОП МП 31</t>
  </si>
  <si>
    <t>20-221-856 ОП МП 32</t>
  </si>
  <si>
    <t>20-221-856 ОП МП 33</t>
  </si>
  <si>
    <t>20-221-856 ОП МП 34</t>
  </si>
  <si>
    <t>20-221-856 ОП МП 35</t>
  </si>
  <si>
    <t>20-221-856 ОП МП 36</t>
  </si>
  <si>
    <t>20-221-856 ОП МП 37</t>
  </si>
  <si>
    <t>20-221-856 ОП МП 38</t>
  </si>
  <si>
    <t>20-221-856 ОП МП 39</t>
  </si>
  <si>
    <t>20-221-856 ОП МП 40</t>
  </si>
  <si>
    <t>20-221-856 ОП МП 41</t>
  </si>
  <si>
    <t>20-221-856 ОП МП 42</t>
  </si>
  <si>
    <t>20-221-856 ОП МП 43</t>
  </si>
  <si>
    <t>20-221-856 ОП МП 44</t>
  </si>
  <si>
    <t>20-221-856 ОП МП 45</t>
  </si>
  <si>
    <t>20-221-856 ОП МП 46</t>
  </si>
  <si>
    <t>20-221-856 ОП МП 47</t>
  </si>
  <si>
    <t>20-221-856 ОП МП 48</t>
  </si>
  <si>
    <t>20-221-856 ОП МП 49</t>
  </si>
  <si>
    <t>20-221-856 ОП МП 50</t>
  </si>
  <si>
    <t>20-221-856 ОП МП 51</t>
  </si>
  <si>
    <t>20-221-856 ОП МП 52</t>
  </si>
  <si>
    <t>20-221-856 ОП МП 53</t>
  </si>
  <si>
    <t>20-221-856 ОП МП 54</t>
  </si>
  <si>
    <t>20-221-856 ОП МП 55</t>
  </si>
  <si>
    <t>20-221-856 ОП МП 56</t>
  </si>
  <si>
    <t>20-221-856 ОП МП 57</t>
  </si>
  <si>
    <t>20-221-856 ОП МП 58</t>
  </si>
  <si>
    <t>20-221-856 ОП МП 59</t>
  </si>
  <si>
    <t>20-221-856 ОП МП 60</t>
  </si>
  <si>
    <t>20-221-856 ОП МП 61</t>
  </si>
  <si>
    <t>20-221-856 ОП МП 62</t>
  </si>
  <si>
    <t>20-221-856 ОП МП 63</t>
  </si>
  <si>
    <t>20-221-856 ОП МП 64</t>
  </si>
  <si>
    <t>20-221-856 ОП МП 65</t>
  </si>
  <si>
    <t>20-221-856 ОП МП 66</t>
  </si>
  <si>
    <t>20-221-856 ОП МП 67</t>
  </si>
  <si>
    <t>20-221-856 ОП МП 68</t>
  </si>
  <si>
    <t>20-221-856 ОП МП 69</t>
  </si>
  <si>
    <t>20-221-856 ОП МП 70</t>
  </si>
  <si>
    <t>20-221-856 ОП МП 71</t>
  </si>
  <si>
    <t>20-221-856 ОП МП 72</t>
  </si>
  <si>
    <t>20-221-860 ОП МП 01</t>
  </si>
  <si>
    <t>20-221-860 ОП МП 02</t>
  </si>
  <si>
    <t>20-221-860 ОП МП 03</t>
  </si>
  <si>
    <t>20-221-860 ОП МП 04</t>
  </si>
  <si>
    <t>20-221-860 ОП МП 05</t>
  </si>
  <si>
    <t>20-221-860 ОП МП 06</t>
  </si>
  <si>
    <t>20-221-860 ОП МП 07</t>
  </si>
  <si>
    <t>20-221-860 ОП МП 08</t>
  </si>
  <si>
    <t>20-221-860 ОП МП 09</t>
  </si>
  <si>
    <t>20-221-860 ОП МП 10</t>
  </si>
  <si>
    <t>20-221-860 ОП МП 11</t>
  </si>
  <si>
    <t>20-221-860 ОП МП 12</t>
  </si>
  <si>
    <t>20-221-860 ОП МП 13</t>
  </si>
  <si>
    <t>20-221-860 ОП МП 14</t>
  </si>
  <si>
    <t>20-221-860 ОП МП 15</t>
  </si>
  <si>
    <t>20-221-860 ОП МП 16</t>
  </si>
  <si>
    <t>20-221-860 ОП МП 17</t>
  </si>
  <si>
    <t>20-221-860 ОП МП 18</t>
  </si>
  <si>
    <t>20-221-860 ОП МП 19</t>
  </si>
  <si>
    <t>20-221-860 ОП МП 20</t>
  </si>
  <si>
    <t>20-221-860 ОП МП 21</t>
  </si>
  <si>
    <t>20-221-860 ОП МП 22</t>
  </si>
  <si>
    <t>20-221-860 ОП МП 23</t>
  </si>
  <si>
    <t>20-221-860 ОП МП 24</t>
  </si>
  <si>
    <t>20-221-860 ОП МП 25</t>
  </si>
  <si>
    <t>20-221-860 ОП МП 26</t>
  </si>
  <si>
    <t>20-221-860 ОП МП 27</t>
  </si>
  <si>
    <t>20-221-860 ОП МП 28</t>
  </si>
  <si>
    <t>20-221-860 ОП МП 29</t>
  </si>
  <si>
    <t>20-221-860 ОП МП 30</t>
  </si>
  <si>
    <t>20-221-860 ОП МП 31</t>
  </si>
  <si>
    <t>20-221-860 ОП МП 32</t>
  </si>
  <si>
    <t>20-221-860 ОП МП 33</t>
  </si>
  <si>
    <t>20-221-860 ОП МП 34</t>
  </si>
  <si>
    <t>20-221-860 ОП МП 35</t>
  </si>
  <si>
    <t>20-221-860 ОП МП 36</t>
  </si>
  <si>
    <t>20-221-860 ОП МП 37</t>
  </si>
  <si>
    <t>20-221-860 ОП МП 38</t>
  </si>
  <si>
    <t>20-221-860 ОП МП 39</t>
  </si>
  <si>
    <t>20-221-860 ОП МП 40</t>
  </si>
  <si>
    <t>20-221-860 ОП МП 41</t>
  </si>
  <si>
    <t>20-221-860 ОП МП 42</t>
  </si>
  <si>
    <t>20-221-860 ОП МП 43</t>
  </si>
  <si>
    <t>20-221-860 ОП МП 44</t>
  </si>
  <si>
    <t>20-221-860 ОП МП 45</t>
  </si>
  <si>
    <t>20-221-860 ОП МП 46</t>
  </si>
  <si>
    <t>20-221-860 ОП МП 47</t>
  </si>
  <si>
    <t>20-221-860 ОП МП 48</t>
  </si>
  <si>
    <t>20-221-860 ОП МП 49</t>
  </si>
  <si>
    <t>20-221-860 ОП МП 50</t>
  </si>
  <si>
    <t>20-221-860 ОП МП 51</t>
  </si>
  <si>
    <t>20-221-860 ОП МП 52</t>
  </si>
  <si>
    <t>20-221-860 ОП МП 53</t>
  </si>
  <si>
    <t>20-221-860 ОП МП 54</t>
  </si>
  <si>
    <t>20-221-860 ОП МП 55</t>
  </si>
  <si>
    <t>20-221-860 ОП МП 56</t>
  </si>
  <si>
    <t>20-221-860 ОП МП 57</t>
  </si>
  <si>
    <t>20-221-860 ОП МП 58</t>
  </si>
  <si>
    <t>20-221-860 ОП МП 59</t>
  </si>
  <si>
    <t>20-221-860 ОП МП 60</t>
  </si>
  <si>
    <t>20-221-860 ОП МП 61</t>
  </si>
  <si>
    <t>20-221-860 ОП МП 62</t>
  </si>
  <si>
    <t>20-221-860 ОП МП 63</t>
  </si>
  <si>
    <t>20-221-860 ОП МП 64</t>
  </si>
  <si>
    <t>20-221-860 ОП МП 65</t>
  </si>
  <si>
    <t>20-221-860 ОП МП 66</t>
  </si>
  <si>
    <t>20-221-860 ОП МП 67</t>
  </si>
  <si>
    <t>20-221-860 ОП МП 68</t>
  </si>
  <si>
    <t>20-221-860 ОП МП 69</t>
  </si>
  <si>
    <t>20-221-860 ОП МП 70</t>
  </si>
  <si>
    <t>20-221-860 ОП МП 71</t>
  </si>
  <si>
    <t>20-221-860 ОП МП 72</t>
  </si>
  <si>
    <t>20-221-863 ОП МП 01</t>
  </si>
  <si>
    <t>20-221-863 ОП МП 02</t>
  </si>
  <si>
    <t>20-221-863 ОП МП 03</t>
  </si>
  <si>
    <t>20-221-863 ОП МП 04</t>
  </si>
  <si>
    <t>20-221-863 ОП МП 05</t>
  </si>
  <si>
    <t>20-221-863 ОП МП 06</t>
  </si>
  <si>
    <t>20-221-863 ОП МП 07</t>
  </si>
  <si>
    <t>20-221-863 ОП МП 08</t>
  </si>
  <si>
    <t>20-221-863 ОП МП 09</t>
  </si>
  <si>
    <t>20-221-863 ОП МП 10</t>
  </si>
  <si>
    <t>20-221-863 ОП МП 11</t>
  </si>
  <si>
    <t>20-221-863 ОП МП 12</t>
  </si>
  <si>
    <t>20-221-863 ОП МП 13</t>
  </si>
  <si>
    <t>20-221-863 ОП МП 14</t>
  </si>
  <si>
    <t>20-221-863 ОП МП 15</t>
  </si>
  <si>
    <t>20-221-863 ОП МП 16</t>
  </si>
  <si>
    <t>20-221-863 ОП МП 17</t>
  </si>
  <si>
    <t>20-221-863 ОП МП 18</t>
  </si>
  <si>
    <t>20-221-863 ОП МП 19</t>
  </si>
  <si>
    <t>20-221-863 ОП МП 20</t>
  </si>
  <si>
    <t>20-221-863 ОП МП 21</t>
  </si>
  <si>
    <t>20-221-863 ОП МП 22</t>
  </si>
  <si>
    <t>20-221-863 ОП МП 23</t>
  </si>
  <si>
    <t>20-221-863 ОП МП 24</t>
  </si>
  <si>
    <t>20-221-863 ОП МП 25</t>
  </si>
  <si>
    <t>20-221-863 ОП МП 26</t>
  </si>
  <si>
    <t>20-221-863 ОП МП 27</t>
  </si>
  <si>
    <t>20-221-863 ОП МП 28</t>
  </si>
  <si>
    <t>20-221-863 ОП МП 29</t>
  </si>
  <si>
    <t>20-221-863 ОП МП 30</t>
  </si>
  <si>
    <t>20-221-863 ОП МП 31</t>
  </si>
  <si>
    <t>20-221-863 ОП МП 32</t>
  </si>
  <si>
    <t>20-221-863 ОП МП 33</t>
  </si>
  <si>
    <t>20-221-863 ОП МП 34</t>
  </si>
  <si>
    <t>20-221-868 ОП МП 01</t>
  </si>
  <si>
    <t>20-221-868 ОП МП 02</t>
  </si>
  <si>
    <t>20-221-868 ОП МП 03</t>
  </si>
  <si>
    <t>20-221-868 ОП МП 04</t>
  </si>
  <si>
    <t>20-221-868 ОП МП 05</t>
  </si>
  <si>
    <t>20-221-868 ОП МП 06</t>
  </si>
  <si>
    <t>20-221-868 ОП МП 07</t>
  </si>
  <si>
    <t>20-221-868 ОП МП 08</t>
  </si>
  <si>
    <t>20-221-868 ОП МП 09</t>
  </si>
  <si>
    <t>20-221-868 ОП МП 10</t>
  </si>
  <si>
    <t>20-221-868 ОП МП 11</t>
  </si>
  <si>
    <t>20-221-868 ОП МП 12</t>
  </si>
  <si>
    <t>20-221-872 ОП МП 01</t>
  </si>
  <si>
    <t>20-221-872 ОП МП 02</t>
  </si>
  <si>
    <t>20-221-872 ОП МП 03</t>
  </si>
  <si>
    <t>20-221-872 ОП МП 04</t>
  </si>
  <si>
    <t>20-221-872 ОП МП 05</t>
  </si>
  <si>
    <t>20-221-872 ОП МП 06</t>
  </si>
  <si>
    <t>20-221-872 ОП МП 07</t>
  </si>
  <si>
    <t>20-221-872 ОП МП 08</t>
  </si>
  <si>
    <t>20-221-872 ОП МП 09</t>
  </si>
  <si>
    <t>20-221-872 ОП МП 10</t>
  </si>
  <si>
    <t>20-221-872 ОП МП 11</t>
  </si>
  <si>
    <t>20-221-872 ОП МП 12</t>
  </si>
  <si>
    <t>20-221-872 ОП МП 13</t>
  </si>
  <si>
    <t>20-221-872 ОП МП 14</t>
  </si>
  <si>
    <t>20-221-872 ОП МП 15</t>
  </si>
  <si>
    <t>20-221-872 ОП МП 16</t>
  </si>
  <si>
    <t>20-221-872 ОП МП 17</t>
  </si>
  <si>
    <t>20-221-872 ОП МП 18</t>
  </si>
  <si>
    <t>20-221-872 ОП МП 19</t>
  </si>
  <si>
    <t>20-221-872 ОП МП 20</t>
  </si>
  <si>
    <t>20-221-872 ОП МП 21</t>
  </si>
  <si>
    <t>20-221-872 ОП МП 22</t>
  </si>
  <si>
    <t>20-221-872 ОП МП 23</t>
  </si>
  <si>
    <t>20-221-872 ОП МП 24</t>
  </si>
  <si>
    <t>20-221-872 ОП МП 25</t>
  </si>
  <si>
    <t>20-221-872 ОП МП 26</t>
  </si>
  <si>
    <t>20-221-872 ОП МП 27</t>
  </si>
  <si>
    <t>20-221-872 ОП МП 28</t>
  </si>
  <si>
    <t>20-221-872 ОП МП 29</t>
  </si>
  <si>
    <t>20-221-872 ОП МП 30</t>
  </si>
  <si>
    <t>20-221-872 ОП МП 31</t>
  </si>
  <si>
    <t>20-221-872 ОП МП 32</t>
  </si>
  <si>
    <t>20-221-872 ОП МП 33</t>
  </si>
  <si>
    <t>20-221-872 ОП МП 34</t>
  </si>
  <si>
    <t>20-221-872 ОП МП 35</t>
  </si>
  <si>
    <t>20-221-872 ОП МП 36</t>
  </si>
  <si>
    <t>20-221-872 ОП МП 37</t>
  </si>
  <si>
    <t>20-221-872 ОП МП 38</t>
  </si>
  <si>
    <t>20-221-872 ОП МП 39</t>
  </si>
  <si>
    <t>20-221-872 ОП МП 40</t>
  </si>
  <si>
    <t>20-221-872 ОП МП 41</t>
  </si>
  <si>
    <t>20-221-872 ОП МП 42</t>
  </si>
  <si>
    <t>20-221-872 ОП МП 43</t>
  </si>
  <si>
    <t>20-221-872 ОП МП 44</t>
  </si>
  <si>
    <t>20-221-872 ОП МП 45</t>
  </si>
  <si>
    <t>20-221-872 ОП МП 46</t>
  </si>
  <si>
    <t>20-221-872 ОП МП 47</t>
  </si>
  <si>
    <t>20-221-872 ОП МП 48</t>
  </si>
  <si>
    <t>20-221-872 ОП МП 49</t>
  </si>
  <si>
    <t>20-221-872 ОП МП 50</t>
  </si>
  <si>
    <t>20-221-872 ОП МП 51</t>
  </si>
  <si>
    <t>20-221-872 ОП МП 52</t>
  </si>
  <si>
    <t>20-221-872 ОП МП 53</t>
  </si>
  <si>
    <t>20-221-872 ОП МП 54</t>
  </si>
  <si>
    <t>20-221-872 ОП МП 55</t>
  </si>
  <si>
    <t>20-221-872 ОП МП 56</t>
  </si>
  <si>
    <t>20-221-872 ОП МП 57</t>
  </si>
  <si>
    <t>20-221-872 ОП МП 58</t>
  </si>
  <si>
    <t>20-221-872 ОП МП 59</t>
  </si>
  <si>
    <t>20-221-872 ОП МП 60</t>
  </si>
  <si>
    <t>20-221-872 ОП МП 61</t>
  </si>
  <si>
    <t>20-221-872 ОП МП 62</t>
  </si>
  <si>
    <t>20-221-872 ОП МП 63</t>
  </si>
  <si>
    <t>20-221-872 ОП МП 64</t>
  </si>
  <si>
    <t>20-221-872 ОП МП 65</t>
  </si>
  <si>
    <t>20-221-876 ОП МП 01</t>
  </si>
  <si>
    <t>20-221-876 ОП МП 02</t>
  </si>
  <si>
    <t>20-221-876 ОП МП 03</t>
  </si>
  <si>
    <t>20-221-876 ОП МП 04</t>
  </si>
  <si>
    <t>20-221-876 ОП МП 05</t>
  </si>
  <si>
    <t>20-221-876 ОП МП 06</t>
  </si>
  <si>
    <t>20-221-876 ОП МП 07</t>
  </si>
  <si>
    <t>20-221-876 ОП МП 08</t>
  </si>
  <si>
    <t>20-221-876 ОП МП 09</t>
  </si>
  <si>
    <t>20-221-876 ОП МП 10</t>
  </si>
  <si>
    <t>20-221-876 ОП МП 11</t>
  </si>
  <si>
    <t>20-221-876 ОП МП 12</t>
  </si>
  <si>
    <t>20-221-876 ОП МП 13</t>
  </si>
  <si>
    <t>20-221-876 ОП МП 14</t>
  </si>
  <si>
    <t>20-221-876 ОП МП 15</t>
  </si>
  <si>
    <t>20-221-876 ОП МП 16</t>
  </si>
  <si>
    <t>20-221-876 ОП МП 17</t>
  </si>
  <si>
    <t>20-221-876 ОП МП 18</t>
  </si>
  <si>
    <t>20-221-876 ОП МП 19</t>
  </si>
  <si>
    <t>20-221-876 ОП МП 20</t>
  </si>
  <si>
    <t>20-221-876 ОП МП 21</t>
  </si>
  <si>
    <t>20-221-876 ОП МП 22</t>
  </si>
  <si>
    <t>20-221-876 ОП МП 23</t>
  </si>
  <si>
    <t>20-221-876 ОП МП 24</t>
  </si>
  <si>
    <t>20-221-876 ОП МП 25</t>
  </si>
  <si>
    <t>20-221-876 ОП МП 26</t>
  </si>
  <si>
    <t>20-221-876 ОП МП 27</t>
  </si>
  <si>
    <t>20-221-876 ОП МП 28</t>
  </si>
  <si>
    <t>20-221-876 ОП МП 29</t>
  </si>
  <si>
    <t>20-221-876 ОП МП 30</t>
  </si>
  <si>
    <t>20-221-876 ОП МП 31</t>
  </si>
  <si>
    <t>20-221-876 ОП МП 32</t>
  </si>
  <si>
    <t>20-221-876 ОП МП 33</t>
  </si>
  <si>
    <t>20-221-876 ОП МП 34</t>
  </si>
  <si>
    <t>20-221-876 ОП МП 35</t>
  </si>
  <si>
    <t>20-221-876 ОП МП 36</t>
  </si>
  <si>
    <t>20-221-880 ОП МП 01</t>
  </si>
  <si>
    <t>20-221-880 ОП МП 02</t>
  </si>
  <si>
    <t>20-221-880 ОП МП 03</t>
  </si>
  <si>
    <t>20-221-880 ОП МП 04</t>
  </si>
  <si>
    <t>20-221-880 ОП МП 05</t>
  </si>
  <si>
    <t>20-221-880 ОП МП 06</t>
  </si>
  <si>
    <t>20-221-880 ОП МП 07</t>
  </si>
  <si>
    <t>20-221-880 ОП МП 08</t>
  </si>
  <si>
    <t>20-221-880 ОП МП 09</t>
  </si>
  <si>
    <t>20-221-880 ОП МП 10</t>
  </si>
  <si>
    <t>20-221-880 ОП МП 11</t>
  </si>
  <si>
    <t>20-221-880 ОП МП 12</t>
  </si>
  <si>
    <t>20-221-880 ОП МП 13</t>
  </si>
  <si>
    <t>20-221-880 ОП МП 14</t>
  </si>
  <si>
    <t>20-221-880 ОП МП 15</t>
  </si>
  <si>
    <t>20-221-880 ОП МП 16</t>
  </si>
  <si>
    <t>20-221-880 ОП МП 17</t>
  </si>
  <si>
    <t>20-221-880 ОП МП 18</t>
  </si>
  <si>
    <t>20-221-880 ОП МП 19</t>
  </si>
  <si>
    <t>20-221-880 ОП МП 20</t>
  </si>
  <si>
    <t>20-221-880 ОП МП 21</t>
  </si>
  <si>
    <t>20-221-880 ОП МП 22</t>
  </si>
  <si>
    <t>20-221-880 ОП МП 23</t>
  </si>
  <si>
    <t>20-221-880 ОП МП 24</t>
  </si>
  <si>
    <t>20-221-880 ОП МП 25</t>
  </si>
  <si>
    <t>20-221-880 ОП МП 26</t>
  </si>
  <si>
    <t>20-221-880 ОП МП 27</t>
  </si>
  <si>
    <t>20-221-880 ОП МП 28</t>
  </si>
  <si>
    <t>20-221-880 ОП МП 29</t>
  </si>
  <si>
    <t>20-221-880 ОП МП 30</t>
  </si>
  <si>
    <t>20-221-880 ОП МП 31</t>
  </si>
  <si>
    <t>20-221-880 ОП МП 32</t>
  </si>
  <si>
    <t>20-221-880 ОП МП 33</t>
  </si>
  <si>
    <t>20-221-880 ОП МП 34</t>
  </si>
  <si>
    <t>20-221-880 ОП МП 35</t>
  </si>
  <si>
    <t>20-221-880 ОП МП 36</t>
  </si>
  <si>
    <t>20-221-880 ОП МП 37</t>
  </si>
  <si>
    <t>20-221-880 ОП МП 38</t>
  </si>
  <si>
    <t>20-221-880 ОП МП 39</t>
  </si>
  <si>
    <t>20-221-880 ОП МП 40</t>
  </si>
  <si>
    <t>20-221-560 ОП МП 01</t>
  </si>
  <si>
    <t>20-221-560 ОП МП 02</t>
  </si>
  <si>
    <t>20-221-560 ОП МП 03</t>
  </si>
  <si>
    <t>20-221-560 ОП МП 04</t>
  </si>
  <si>
    <t>20-221-560 ОП МП 05</t>
  </si>
  <si>
    <t>20-221-560 ОП МП 06</t>
  </si>
  <si>
    <t>20-221-560 ОП МП 07</t>
  </si>
  <si>
    <t>20-221-560 ОП МП 08</t>
  </si>
  <si>
    <t>20-221-560 ОП МП 09</t>
  </si>
  <si>
    <t>20-221-560 ОП МП 10</t>
  </si>
  <si>
    <t>20-221-560 ОП МП 11</t>
  </si>
  <si>
    <t>20-221-560 ОП МП 12</t>
  </si>
  <si>
    <t>20-221-560 ОП МП 13</t>
  </si>
  <si>
    <t>20-221-560 ОП МП 14</t>
  </si>
  <si>
    <t>20-221-560 ОП МП 15</t>
  </si>
  <si>
    <t>20-221-560 ОП МП 16</t>
  </si>
  <si>
    <t>20-221-560 ОП МП 17</t>
  </si>
  <si>
    <t>20-221-560 ОП МП 18</t>
  </si>
  <si>
    <t>20-221-560 ОП МП 19</t>
  </si>
  <si>
    <t>20-221-560 ОП МП 20</t>
  </si>
  <si>
    <t>20-221-560 ОП МП 21</t>
  </si>
  <si>
    <t>20-221-560 ОП МП 22</t>
  </si>
  <si>
    <t>20-221-560 ОП МП 23</t>
  </si>
  <si>
    <t>20-221-560 ОП МП 24</t>
  </si>
  <si>
    <t>20-221-560 ОП МП 25</t>
  </si>
  <si>
    <t>20-221-560 ОП МП 26</t>
  </si>
  <si>
    <t>20-221-560 ОП МП 27</t>
  </si>
  <si>
    <t>20-221-560 ОП МП 28</t>
  </si>
  <si>
    <t>20-221-560 ОП МП 29</t>
  </si>
  <si>
    <t>20-221-560 ОП МП 30</t>
  </si>
  <si>
    <t>20-221-560 ОП МП 31</t>
  </si>
  <si>
    <t>20-221-560 ОП МП 32</t>
  </si>
  <si>
    <t>20-221-560 ОП МП 33</t>
  </si>
  <si>
    <t>20-221-560 ОП МП 34</t>
  </si>
  <si>
    <t>20-221-560 ОП МП 35</t>
  </si>
  <si>
    <t>20-221-560 ОП МП 36</t>
  </si>
  <si>
    <t>20-221-560 ОП МП 37</t>
  </si>
  <si>
    <t>20-221-560 ОП МП 38</t>
  </si>
  <si>
    <t>20-221-560 ОП МП 39</t>
  </si>
  <si>
    <t>20-221-560 ОП МП 40</t>
  </si>
  <si>
    <t>20-221-560 ОП МП 41</t>
  </si>
  <si>
    <t>20-221-560 ОП МП 42</t>
  </si>
  <si>
    <t>20-221-560 ОП МП 43</t>
  </si>
  <si>
    <t>20-221-560 ОП МП 44</t>
  </si>
  <si>
    <t>20-221-560 ОП МП 45</t>
  </si>
  <si>
    <t>20-221-560 ОП МП 46</t>
  </si>
  <si>
    <t>20-221-560 ОП МП 47</t>
  </si>
  <si>
    <t>20-221-560 ОП МП 48</t>
  </si>
  <si>
    <t>20-221-560 ОП МП 49</t>
  </si>
  <si>
    <t>20-221-560 ОП МП 50</t>
  </si>
  <si>
    <t>20-221-560 ОП МП 51</t>
  </si>
  <si>
    <t>20-221-560 ОП МП 52</t>
  </si>
  <si>
    <t>20-221-560 ОП МП 53</t>
  </si>
  <si>
    <t>20-221-560 ОП МП 54</t>
  </si>
  <si>
    <t>20-221-560 ОП МП 55</t>
  </si>
  <si>
    <t>20-221-560 ОП МП 56</t>
  </si>
  <si>
    <t>20-221-560 ОП МП 57</t>
  </si>
  <si>
    <t>20-221-560 ОП МП 58</t>
  </si>
  <si>
    <t>20-221-560 ОП МП 59</t>
  </si>
  <si>
    <t>20-221-560 ОП МП 60</t>
  </si>
  <si>
    <t>20-221-560 ОП МП 61</t>
  </si>
  <si>
    <t>20-221-560 ОП МП 62</t>
  </si>
  <si>
    <t>20-221-560 ОП МП 63</t>
  </si>
  <si>
    <t>20-221-560 ОП МП 64</t>
  </si>
  <si>
    <t>20-221-560 ОП МП 65</t>
  </si>
  <si>
    <t>20-221-560 ОП МП 66</t>
  </si>
  <si>
    <t>20-621-501 ОП МП 01</t>
  </si>
  <si>
    <t>20-621-501 ОП МП 02</t>
  </si>
  <si>
    <t>20-621-501 ОП МП 03</t>
  </si>
  <si>
    <t>20-621-501 ОП МП 04</t>
  </si>
  <si>
    <t>20-621-501 ОП МП 05</t>
  </si>
  <si>
    <t>20-621-501 ОП МП 06</t>
  </si>
  <si>
    <t>20-621-501 ОП МП 07</t>
  </si>
  <si>
    <t>20-621-501 ОП МП 08</t>
  </si>
  <si>
    <t>20-621-501 ОП МП 09</t>
  </si>
  <si>
    <t>20-621-501 ОП МП 10</t>
  </si>
  <si>
    <t>20-621-501 ОП МП 11</t>
  </si>
  <si>
    <t>20-621-501 ОП МП 12</t>
  </si>
  <si>
    <t>20-621-501 ОП МП 13</t>
  </si>
  <si>
    <t>20-621-501 ОП МП 14</t>
  </si>
  <si>
    <t>20-621-501 ОП МП 15</t>
  </si>
  <si>
    <t>20-621-501 ОП МП 16</t>
  </si>
  <si>
    <t>20-621-501 ОП МП 17</t>
  </si>
  <si>
    <t>20-621-501 ОП МП 18</t>
  </si>
  <si>
    <t>20-621-501 ОП МП 19</t>
  </si>
  <si>
    <t>20-621-501 ОП МП 20</t>
  </si>
  <si>
    <t>20-621-501 ОП МП 21</t>
  </si>
  <si>
    <t>20-621-501 ОП МП 22</t>
  </si>
  <si>
    <t>20-621-501 ОП МП 23</t>
  </si>
  <si>
    <t>20-621-501 ОП МП 24</t>
  </si>
  <si>
    <t>20-621-501 ОП МП 25</t>
  </si>
  <si>
    <t>20-621-501 ОП МП 26</t>
  </si>
  <si>
    <t>20-621-501 ОП МП 27</t>
  </si>
  <si>
    <t>20-621-501 ОП МП 28</t>
  </si>
  <si>
    <t>20-621-501 ОП МП 29</t>
  </si>
  <si>
    <t>20-621-501 ОП МП 30</t>
  </si>
  <si>
    <t>20-621-501 ОП МП 31</t>
  </si>
  <si>
    <t>20-621-501 ОП МП 32</t>
  </si>
  <si>
    <t>20-621-501 ОП МП 33</t>
  </si>
  <si>
    <t>20-621-501 ОП МП 34</t>
  </si>
  <si>
    <t>20-621-501 ОП МП 35</t>
  </si>
  <si>
    <t>20-621-501 ОП МП 36</t>
  </si>
  <si>
    <t>20-621-501 ОП МП 37</t>
  </si>
  <si>
    <t>20-621-501 ОП МП 38</t>
  </si>
  <si>
    <t>20-621-501 ОП МП 39</t>
  </si>
  <si>
    <t>20-621-501 ОП МП 40</t>
  </si>
  <si>
    <t>20-621-501 ОП МП 41</t>
  </si>
  <si>
    <t>20-621-501 ОП МП 42</t>
  </si>
  <si>
    <t>20-621-501 ОП МП 43</t>
  </si>
  <si>
    <t>20-621-501 ОП МП 44</t>
  </si>
  <si>
    <t>20-621-501 ОП МП 45</t>
  </si>
  <si>
    <t>20-621-501 ОП МП 46</t>
  </si>
  <si>
    <t>20-621-501 ОП МП 47</t>
  </si>
  <si>
    <t>20-621-501 ОП МП 48</t>
  </si>
  <si>
    <t>20-621-501 ОП МП 49</t>
  </si>
  <si>
    <t>20-621-501 ОП МП 50</t>
  </si>
  <si>
    <t>20-621-501 ОП МП 51</t>
  </si>
  <si>
    <t>20-621-501 ОП МП 52</t>
  </si>
  <si>
    <t>20-621-501 ОП МП 53</t>
  </si>
  <si>
    <t>20-621-501 ОП МП 54</t>
  </si>
  <si>
    <t>20-621-501 ОП МП 55</t>
  </si>
  <si>
    <t>20-621-501 ОП МП 56</t>
  </si>
  <si>
    <t>20-621-501 ОП МП 57</t>
  </si>
  <si>
    <t>20-621-501 ОП МП 58</t>
  </si>
  <si>
    <t>20-621-501 ОП МП 59</t>
  </si>
  <si>
    <t>20-621-501 ОП МП 60</t>
  </si>
  <si>
    <t>20-621-501 ОП МП 61</t>
  </si>
  <si>
    <t>20-621-501 ОП МП 62</t>
  </si>
  <si>
    <t>20-621-501 ОП МП 63</t>
  </si>
  <si>
    <t>20-621-501 ОП МП 64</t>
  </si>
  <si>
    <t>20-621-501 ОП МП 65</t>
  </si>
  <si>
    <t>20-621-501 ОП МП 66</t>
  </si>
  <si>
    <t>20-621-501 ОП МП 67</t>
  </si>
  <si>
    <t>20-621-501 ОП МП 68</t>
  </si>
  <si>
    <t>20-621-501 ОП МП 69</t>
  </si>
  <si>
    <t>20-621-501 ОП МП 70</t>
  </si>
  <si>
    <t>20-621-501 ОП МП 71</t>
  </si>
  <si>
    <t>20-621-501 ОП МП 72</t>
  </si>
  <si>
    <t>20-621-501 ОП МП 73</t>
  </si>
  <si>
    <t>20-621-501 ОП МП 74</t>
  </si>
  <si>
    <t>20-621-501 ОП МП 75</t>
  </si>
  <si>
    <t>20-621-501 ОП МП 76</t>
  </si>
  <si>
    <t>20-621-501 ОП МП 77</t>
  </si>
  <si>
    <t>20-621-501 ОП МП 78</t>
  </si>
  <si>
    <t>20-621-501 ОП МП 79</t>
  </si>
  <si>
    <t>20-621-501 ОП МП 80</t>
  </si>
  <si>
    <t>20-621-501 ОП МП 81</t>
  </si>
  <si>
    <t>20-621-501 ОП МП 82</t>
  </si>
  <si>
    <t>20-621-501 ОП МП 83</t>
  </si>
  <si>
    <t>20-621-501 ОП МП 84</t>
  </si>
  <si>
    <t>20-621-501 ОП МП 85</t>
  </si>
  <si>
    <t>20-621-501 ОП МП 86</t>
  </si>
  <si>
    <t>20-621-501 ОП МП 87</t>
  </si>
  <si>
    <t>20-621-501 ОП МП 88</t>
  </si>
  <si>
    <t>20-621-501 ОП МП 89</t>
  </si>
  <si>
    <t>20-621-501 ОП МП 90</t>
  </si>
  <si>
    <t>20-621-501 ОП МП 91</t>
  </si>
  <si>
    <t>20-621-501 ОП МП 92</t>
  </si>
  <si>
    <t>20-621-501 ОП МП 93</t>
  </si>
  <si>
    <t>20-621-501 ОП МП 94</t>
  </si>
  <si>
    <t>20-621-501 ОП МП 95</t>
  </si>
  <si>
    <t>20-621-501 ОП МП 96</t>
  </si>
  <si>
    <t>20-621-501 ОП МП 97</t>
  </si>
  <si>
    <t>20-621-501 ОП МП 98</t>
  </si>
  <si>
    <t>20-621-501 ОП МП 99</t>
  </si>
  <si>
    <t>20-621-501 ОП МП 100</t>
  </si>
  <si>
    <t>20-621-501 ОП МП 101</t>
  </si>
  <si>
    <t>20-621-501 ОП МП 102</t>
  </si>
  <si>
    <t>20-621-501 ОП МП 103</t>
  </si>
  <si>
    <t>20-621-501 ОП МП 104</t>
  </si>
  <si>
    <t>20-621-501 ОП МП 105</t>
  </si>
  <si>
    <t>20-621-501 ОП МП 106</t>
  </si>
  <si>
    <t>20-621-501 ОП МП 107</t>
  </si>
  <si>
    <t>20-621-501 ОП МП 108</t>
  </si>
  <si>
    <t>20-621-501 ОП МП 109</t>
  </si>
  <si>
    <t>20-621-501 ОП МП 110</t>
  </si>
  <si>
    <t>20-621-501 ОП МП 111</t>
  </si>
  <si>
    <t>20-621-501 ОП МП 112</t>
  </si>
  <si>
    <t>20-621-501 ОП МП 113</t>
  </si>
  <si>
    <t>20-621-501 ОП МП 114</t>
  </si>
  <si>
    <t>20-621-501 ОП МП 115</t>
  </si>
  <si>
    <t>20-621-501 ОП МП 116</t>
  </si>
  <si>
    <t>20-621-501 ОП МП 117</t>
  </si>
  <si>
    <t>20-621-501 ОП МП 118</t>
  </si>
  <si>
    <t>20-621-501 ОП МП 119</t>
  </si>
  <si>
    <t>20-621-501 ОП МП 120</t>
  </si>
  <si>
    <t>20-621-501 ОП МП 121</t>
  </si>
  <si>
    <t>20-621-501 ОП МП 122</t>
  </si>
  <si>
    <t>20-621-501 ОП МП 123</t>
  </si>
  <si>
    <t>20-621-501 ОП МП 124</t>
  </si>
  <si>
    <t>20-621-501 ОП МП 125</t>
  </si>
  <si>
    <t>20-621-501 ОП МП 126</t>
  </si>
  <si>
    <t>20-621-501 ОП МП 127</t>
  </si>
  <si>
    <t>20-621-501 ОП МП 128</t>
  </si>
  <si>
    <t>20-621-501 ОП МП 129</t>
  </si>
  <si>
    <t>20-621-501 ОП МП 130</t>
  </si>
  <si>
    <t>20-621-501 ОП МП 131</t>
  </si>
  <si>
    <t>20-621-501 ОП МП 132</t>
  </si>
  <si>
    <t>20-621-501 ОП МП 133</t>
  </si>
  <si>
    <t>20-621-501 ОП МП 134</t>
  </si>
  <si>
    <t>20-621-501 ОП МП 135</t>
  </si>
  <si>
    <t>20-621-501 ОП МП 136</t>
  </si>
  <si>
    <t>20-621-501 ОП МП 137</t>
  </si>
  <si>
    <t>20-621-501 ОП МП 138</t>
  </si>
  <si>
    <t>20-621-501 ОП МП 139</t>
  </si>
  <si>
    <t>20-621-501 ОП МП 140</t>
  </si>
  <si>
    <t>20-621-501 ОП МП 141</t>
  </si>
  <si>
    <t>20-621-501 ОП МП 142</t>
  </si>
  <si>
    <t>20-621-501 ОП МП 143</t>
  </si>
  <si>
    <t>20-621-501 ОП МП 144</t>
  </si>
  <si>
    <t>20-621-501 ОП МП 145</t>
  </si>
  <si>
    <t>20-621-501 ОП МП 146</t>
  </si>
  <si>
    <t>20-621-501 ОП МП 147</t>
  </si>
  <si>
    <t>20-621-501 ОП МП 148</t>
  </si>
  <si>
    <t>20-621-501 ОП МП 149</t>
  </si>
  <si>
    <t>20-621-501 ОП МП 150</t>
  </si>
  <si>
    <t>20-621-501 ОП МП 151</t>
  </si>
  <si>
    <t>20-621-501 ОП МП 152</t>
  </si>
  <si>
    <t>20-621-501 ОП МП 153</t>
  </si>
  <si>
    <t>20-621-501 ОП МП 154</t>
  </si>
  <si>
    <t>20-621-501 ОП МП 155</t>
  </si>
  <si>
    <t>20-621-501 ОП МП 156</t>
  </si>
  <si>
    <t>20-621-501 ОП МП 157</t>
  </si>
  <si>
    <t>20-621-501 ОП МП 158</t>
  </si>
  <si>
    <t>20-621-501 ОП МП 159</t>
  </si>
  <si>
    <t>20-621-501 ОП МП 160</t>
  </si>
  <si>
    <t>20-621-501 ОП МП 161</t>
  </si>
  <si>
    <t>20-621-501 ОП МП 162</t>
  </si>
  <si>
    <t>20-621-501 ОП МП 163</t>
  </si>
  <si>
    <t>20-621-501 ОП МП 164</t>
  </si>
  <si>
    <t>20-621-501 ОП МП 165</t>
  </si>
  <si>
    <t>20-621-501 ОП МП 166</t>
  </si>
  <si>
    <t>20-621-501 ОП МП 167</t>
  </si>
  <si>
    <t>20-621-501 ОП МП 168</t>
  </si>
  <si>
    <t>20-621-501 ОП МП 169</t>
  </si>
  <si>
    <t>20-621-501 ОП МП 170</t>
  </si>
  <si>
    <t>20-621-501 ОП МП 171</t>
  </si>
  <si>
    <t>20-621-501 ОП МП 172</t>
  </si>
  <si>
    <t>20-621-501 ОП МП 173</t>
  </si>
  <si>
    <t>20-621-501 ОП МП 174</t>
  </si>
  <si>
    <t>20-621-501 ОП МП 175</t>
  </si>
  <si>
    <t>20-621-501 ОП МП 176</t>
  </si>
  <si>
    <t>20-621-501 ОП МП 177</t>
  </si>
  <si>
    <t>20-621-501 ОП МП 178</t>
  </si>
  <si>
    <t>20-621-501 ОП МП 179</t>
  </si>
  <si>
    <t>20-621-501 ОП МП 180</t>
  </si>
  <si>
    <t>20-621-501 ОП МП 181</t>
  </si>
  <si>
    <t>20-621-501 ОП МП 182</t>
  </si>
  <si>
    <t>20-621-501 ОП МП 183</t>
  </si>
  <si>
    <t>20-621-501 ОП МП 184</t>
  </si>
  <si>
    <t>20-621-501 ОП МП 185</t>
  </si>
  <si>
    <t>20-621-501 ОП МП 186</t>
  </si>
  <si>
    <t>20-621-501 ОП МП 187</t>
  </si>
  <si>
    <t>20-621-501 ОП МП 188</t>
  </si>
  <si>
    <t>20-621-501 ОП МП 189</t>
  </si>
  <si>
    <t>20-621-501 ОП МП 190</t>
  </si>
  <si>
    <t>20-621-501 ОП МП 191</t>
  </si>
  <si>
    <t>20-621-501 ОП МП 192</t>
  </si>
  <si>
    <t>20-621-501 ОП МП 193</t>
  </si>
  <si>
    <t>20-621-501 ОП МП 194</t>
  </si>
  <si>
    <t>20-621-501 ОП МП 195</t>
  </si>
  <si>
    <t>20-621-501 ОП МП 196</t>
  </si>
  <si>
    <t>20-621-501 ОП МП 197</t>
  </si>
  <si>
    <t>20-621-501 ОП МП 198</t>
  </si>
  <si>
    <t>20-621-501 ОП МП 199</t>
  </si>
  <si>
    <t>20-621-501 ОП МП 200</t>
  </si>
  <si>
    <t>20-621-501 ОП МП 201</t>
  </si>
  <si>
    <t>20-621-501 ОП МП 202</t>
  </si>
  <si>
    <t>20-621-501 ОП МП 203</t>
  </si>
  <si>
    <t>20-621-501 ОП МП 204</t>
  </si>
  <si>
    <t>20-621-501 ОП МП 205</t>
  </si>
  <si>
    <t>20-621-501 ОП МП 206</t>
  </si>
  <si>
    <t>20-621-501 ОП МП 207</t>
  </si>
  <si>
    <t>20-621-501 ОП МП 208</t>
  </si>
  <si>
    <t>20-621-501 ОП МП 209</t>
  </si>
  <si>
    <t>20-621-501 ОП МП 210</t>
  </si>
  <si>
    <t>20-621-501 ОП МП 211</t>
  </si>
  <si>
    <t>20-621-501 ОП МП 212</t>
  </si>
  <si>
    <t>20-621-501 ОП МП 213</t>
  </si>
  <si>
    <t>20-621-501 ОП МП 214</t>
  </si>
  <si>
    <t>20-621-501 ОП МП 215</t>
  </si>
  <si>
    <t>20-621-501 ОП МП 216</t>
  </si>
  <si>
    <t>20-621-501 ОП МП 217</t>
  </si>
  <si>
    <t>20-621-501 ОП МП 218</t>
  </si>
  <si>
    <t>20-621-501 ОП МП 219</t>
  </si>
  <si>
    <t>20-621-501 ОП МП 220</t>
  </si>
  <si>
    <t>20-621-501 ОП МП 221</t>
  </si>
  <si>
    <t>20-621-501 ОП МП 222</t>
  </si>
  <si>
    <t>20-621-501 ОП МП 223</t>
  </si>
  <si>
    <t>20-621-501 ОП МП 224</t>
  </si>
  <si>
    <t>20-621-501 ОП МП 225</t>
  </si>
  <si>
    <t>20-621-501 ОП МП 226</t>
  </si>
  <si>
    <t>20-621-501 ОП МП 227</t>
  </si>
  <si>
    <t>20-621-501 ОП МП 228</t>
  </si>
  <si>
    <t>20-621-501 ОП МП 229</t>
  </si>
  <si>
    <t>20-621-501 ОП МП 230</t>
  </si>
  <si>
    <t>20-621-501 ОП МП 231</t>
  </si>
  <si>
    <t>20-621-501 ОП МП 232</t>
  </si>
  <si>
    <t>20-621-501 ОП МП 233</t>
  </si>
  <si>
    <t>20-621-501 ОП МП 234</t>
  </si>
  <si>
    <t>20-621-501 ОП МП 235</t>
  </si>
  <si>
    <t>20-621-501 ОП МП 236</t>
  </si>
  <si>
    <t>20-621-501 ОП МП 237</t>
  </si>
  <si>
    <t>20-621-501 ОП МП 238</t>
  </si>
  <si>
    <t>20-621-501 ОП МП 239</t>
  </si>
  <si>
    <t>20-621-501 ОП МП 240</t>
  </si>
  <si>
    <t>20-621-501 ОП МП 241</t>
  </si>
  <si>
    <t>20-621-501 ОП МП 242</t>
  </si>
  <si>
    <t>20-621-501 ОП МП 243</t>
  </si>
  <si>
    <t>20-621-501 ОП МП 244</t>
  </si>
  <si>
    <t>20-621-501 ОП МП 245</t>
  </si>
  <si>
    <t>20-621-501 ОП МП 246</t>
  </si>
  <si>
    <t>20-621-501 ОП МП 247</t>
  </si>
  <si>
    <t>20-621-501 ОП МП 248</t>
  </si>
  <si>
    <t>20-621-501 ОП МП 249</t>
  </si>
  <si>
    <t>20-621-501 ОП МП 250</t>
  </si>
  <si>
    <t>20-621-501 ОП МП 251</t>
  </si>
  <si>
    <t>20-621-501 ОП МП 252</t>
  </si>
  <si>
    <t>20-621-501 ОП МП 253</t>
  </si>
  <si>
    <t>20-621-501 ОП МП 254</t>
  </si>
  <si>
    <t>20-621-501 ОП МП 255</t>
  </si>
  <si>
    <t>20-621-501 ОП МП 256</t>
  </si>
  <si>
    <t>20-621-501 ОП МП 257</t>
  </si>
  <si>
    <t>20-621-501 ОП МП 258</t>
  </si>
  <si>
    <t>20-621-501 ОП МП 259</t>
  </si>
  <si>
    <t>20-621-501 ОП МП 260</t>
  </si>
  <si>
    <t>20-621-501 ОП МП 261</t>
  </si>
  <si>
    <t>20-621-501 ОП МП 262</t>
  </si>
  <si>
    <t>20-621-501 ОП МП 263</t>
  </si>
  <si>
    <t>20-621-501 ОП МП 264</t>
  </si>
  <si>
    <t>20-621-501 ОП МП 265</t>
  </si>
  <si>
    <t>20-621-501 ОП МП 266</t>
  </si>
  <si>
    <t>20-621-501 ОП МП 267</t>
  </si>
  <si>
    <t>20-621-501 ОП МП 268</t>
  </si>
  <si>
    <t>20-621-501 ОП МП 269</t>
  </si>
  <si>
    <t>20-621-501 ОП МП 270</t>
  </si>
  <si>
    <t>20-621-501 ОП МП 271</t>
  </si>
  <si>
    <t>20-621-501 ОП МП 272</t>
  </si>
  <si>
    <t>20-621-501 ОП МП 273</t>
  </si>
  <si>
    <t>20-621-501 ОП МП 274</t>
  </si>
  <si>
    <t>20-621-501 ОП МП 275</t>
  </si>
  <si>
    <t>20-621-501 ОП МП 276</t>
  </si>
  <si>
    <t>20-621-501 ОП МП 277</t>
  </si>
  <si>
    <t>20-621-501 ОП МП 278</t>
  </si>
  <si>
    <t>20-621-501 ОП МП 279</t>
  </si>
  <si>
    <t>20-621-501 ОП МП 280</t>
  </si>
  <si>
    <t>20-621-501 ОП МП 281</t>
  </si>
  <si>
    <t>20-621-501 ОП МП 282</t>
  </si>
  <si>
    <t>20-621-501 ОП МП 283</t>
  </si>
  <si>
    <t>20-621-501 ОП МП 284</t>
  </si>
  <si>
    <t>20-621-501 ОП МП 285</t>
  </si>
  <si>
    <t>20-621-501 ОП МП 286</t>
  </si>
  <si>
    <t>20-621-501 ОП МП 287</t>
  </si>
  <si>
    <t>20-621-501 ОП МП 288</t>
  </si>
  <si>
    <t>20-621-501 ОП МП 289</t>
  </si>
  <si>
    <t>20-621-501 ОП МП 290</t>
  </si>
  <si>
    <t>20-621-501 ОП МП 291</t>
  </si>
  <si>
    <t>20-621-501 ОП МП 292</t>
  </si>
  <si>
    <t>20-621-501 ОП МП 293</t>
  </si>
  <si>
    <t>20-621-501 ОП МП 294</t>
  </si>
  <si>
    <t>20-621-501 ОП МП 295</t>
  </si>
  <si>
    <t>20-621-501 ОП МП 296</t>
  </si>
  <si>
    <t>20-621-501 ОП МП 297</t>
  </si>
  <si>
    <t>20-621-501 ОП МП 298</t>
  </si>
  <si>
    <t>20-621-501 ОП МП 299</t>
  </si>
  <si>
    <t>20-621-501 ОП МП 300</t>
  </si>
  <si>
    <t>20-621-501 ОП МП 301</t>
  </si>
  <si>
    <t>20-621-501 ОП МП 302</t>
  </si>
  <si>
    <t>20-621-501 ОП МП 303</t>
  </si>
  <si>
    <t>20-621-501 ОП МП 304</t>
  </si>
  <si>
    <t>20-621-501 ОП МП 305</t>
  </si>
  <si>
    <t>20-621-501 ОП МП 306</t>
  </si>
  <si>
    <t>20-621-501 ОП МП 307</t>
  </si>
  <si>
    <t>20-621-501 ОП МП 308</t>
  </si>
  <si>
    <t>20-621-501 ОП МП 309</t>
  </si>
  <si>
    <t>20-621-501 ОП МП 310</t>
  </si>
  <si>
    <t>20-621-501 ОП МП 311</t>
  </si>
  <si>
    <t>20-621-501 ОП МП 312</t>
  </si>
  <si>
    <t>20-621-501 ОП МП 313</t>
  </si>
  <si>
    <t>20-621-501 ОП МП 314</t>
  </si>
  <si>
    <t>20-621-501 ОП МП 315</t>
  </si>
  <si>
    <t>20-621-501 ОП МП 316</t>
  </si>
  <si>
    <t>20-621-501 ОП МП 317</t>
  </si>
  <si>
    <t>20-621-501 ОП МП 318</t>
  </si>
  <si>
    <t>20-621-501 ОП МП 319</t>
  </si>
  <si>
    <t>20-621-501 ОП МП 320</t>
  </si>
  <si>
    <t>20-621-501 ОП МП 321</t>
  </si>
  <si>
    <t>20-621-501 ОП МП 322</t>
  </si>
  <si>
    <t>20-621-501 ОП МП 323</t>
  </si>
  <si>
    <t>20-621-501 ОП МП 324</t>
  </si>
  <si>
    <t>20-621-501 ОП МП 325</t>
  </si>
  <si>
    <t>20-621-501 ОП МП 326</t>
  </si>
  <si>
    <t>20-621-501 ОП МП 327</t>
  </si>
  <si>
    <t>20-621-501 ОП МП 328</t>
  </si>
  <si>
    <t>20-621-501 ОП МП 329</t>
  </si>
  <si>
    <t>20-621-501 ОП МП 330</t>
  </si>
  <si>
    <t>20-621-501 ОП МП 331</t>
  </si>
  <si>
    <t>20-621-501 ОП МП 332</t>
  </si>
  <si>
    <t>20-621-501 ОП МП 333</t>
  </si>
  <si>
    <t>20-621-501 ОП МП 334</t>
  </si>
  <si>
    <t>20-621-501 ОП МП 335</t>
  </si>
  <si>
    <t>20-621-501 ОП МП 336</t>
  </si>
  <si>
    <t>20-621-501 ОП МП 337</t>
  </si>
  <si>
    <t>20-621-501 ОП МП 338</t>
  </si>
  <si>
    <t>20-621-501 ОП МП 339</t>
  </si>
  <si>
    <t>20-621-501 ОП МП 340</t>
  </si>
  <si>
    <t>20-621-501 ОП МП 341</t>
  </si>
  <si>
    <t>20-621-501 ОП МП 342</t>
  </si>
  <si>
    <t>20-621-501 ОП МП 343</t>
  </si>
  <si>
    <t>20-621-501 ОП МП 344</t>
  </si>
  <si>
    <t>20-621-501 ОП МП 345</t>
  </si>
  <si>
    <t>20-621-501 ОП МП 346</t>
  </si>
  <si>
    <t>20-621-501 ОП МП 347</t>
  </si>
  <si>
    <t>20-621-501 ОП МП 348</t>
  </si>
  <si>
    <t>20-621-501 ОП МП 349</t>
  </si>
  <si>
    <t>20-621-501 ОП МП 350</t>
  </si>
  <si>
    <t>20-621-501 ОП МП 351</t>
  </si>
  <si>
    <t>20-621-501 ОП МП 352</t>
  </si>
  <si>
    <t>20-621-501 ОП МП 353</t>
  </si>
  <si>
    <t>20-621-501 ОП МП 354</t>
  </si>
  <si>
    <t>20-621-501 ОП МП 355</t>
  </si>
  <si>
    <t>20-621-501 ОП МП 356</t>
  </si>
  <si>
    <t>20-621-501 ОП МП 357</t>
  </si>
  <si>
    <t>20-621-501 ОП МП 358</t>
  </si>
  <si>
    <t>20-621-501 ОП МП 359</t>
  </si>
  <si>
    <t>20-621-501 ОП МП 360</t>
  </si>
  <si>
    <t>20-621-501 ОП МП 361</t>
  </si>
  <si>
    <t>20-621-501 ОП МП 362</t>
  </si>
  <si>
    <t>20-621-501 ОП МП 363</t>
  </si>
  <si>
    <t>20-621-501 ОП МП 364</t>
  </si>
  <si>
    <t>20-621-501 ОП МП 365</t>
  </si>
  <si>
    <t>20-621-501 ОП МП 366</t>
  </si>
  <si>
    <t>20-621-501 ОП МП 367</t>
  </si>
  <si>
    <t>20-621-501 ОП МП 368</t>
  </si>
  <si>
    <t>20-621-501 ОП МП 369</t>
  </si>
  <si>
    <t>20-621-501 ОП МП 370</t>
  </si>
  <si>
    <t>20-621-501 ОП МП 371</t>
  </si>
  <si>
    <t>20-621-501 ОП МП 372</t>
  </si>
  <si>
    <t>20-621-501 ОП МП 373</t>
  </si>
  <si>
    <t>20-621-501 ОП МП 374</t>
  </si>
  <si>
    <t>20-621-501 ОП МП 375</t>
  </si>
  <si>
    <t>20-621-501 ОП МП 376</t>
  </si>
  <si>
    <t>20-621-501 ОП МП 377</t>
  </si>
  <si>
    <t>20-621-501 ОП МП 378</t>
  </si>
  <si>
    <t>20-621-501 ОП МП 379</t>
  </si>
  <si>
    <t>20-621-501 ОП МП 380</t>
  </si>
  <si>
    <t>20-621-501 ОП МП 381</t>
  </si>
  <si>
    <t>20-621-501 ОП МП 382</t>
  </si>
  <si>
    <t>20-621-501 ОП МП 383</t>
  </si>
  <si>
    <t>20-621-501 ОП МП 384</t>
  </si>
  <si>
    <t>20-621-501 ОП МП 385</t>
  </si>
  <si>
    <t>20-621-501 ОП МП 386</t>
  </si>
  <si>
    <t>20-621-501 ОП МП 387</t>
  </si>
  <si>
    <t>20-621-501 ОП МП 388</t>
  </si>
  <si>
    <t>20-621-501 ОП МП 389</t>
  </si>
  <si>
    <t>20-621-501 ОП МП 390</t>
  </si>
  <si>
    <t>20-621-501 ОП МП 391</t>
  </si>
  <si>
    <t>20-621-501 ОП МП 392</t>
  </si>
  <si>
    <t>20-621-501 ОП МП 393</t>
  </si>
  <si>
    <t>20-621-501 ОП МП 394</t>
  </si>
  <si>
    <t>20-621-501 ОП МП 395</t>
  </si>
  <si>
    <t>20-621-501 ОП МП 396</t>
  </si>
  <si>
    <t>20-621-501 ОП МП 397</t>
  </si>
  <si>
    <t>20-621-501 ОП МП 398</t>
  </si>
  <si>
    <t>20-621-501 ОП МП 399</t>
  </si>
  <si>
    <t>20-621-501 ОП МП 400</t>
  </si>
  <si>
    <t>20-621-501 ОП МП 401</t>
  </si>
  <si>
    <t>20-621-501 ОП МП 402</t>
  </si>
  <si>
    <t>20-621-501 ОП МП 403</t>
  </si>
  <si>
    <t>20-621-501 ОП МП 404</t>
  </si>
  <si>
    <t>20-621-501 ОП МП 405</t>
  </si>
  <si>
    <t>20-621-501 ОП МП 406</t>
  </si>
  <si>
    <t>20-621-501 ОП МП 407</t>
  </si>
  <si>
    <t>20-621-501 ОП МП 408</t>
  </si>
  <si>
    <t>20-621-501 ОП МП 409</t>
  </si>
  <si>
    <t>20-621-501 ОП МП 410</t>
  </si>
  <si>
    <t>20-621-501 ОП МП 411</t>
  </si>
  <si>
    <t>20-621-501 ОП МП 412</t>
  </si>
  <si>
    <t>20-621-501 ОП МП 413</t>
  </si>
  <si>
    <t>20-621-501 ОП МП 414</t>
  </si>
  <si>
    <t>20-621-501 ОП МП 415</t>
  </si>
  <si>
    <t>20-621-501 ОП МП 416</t>
  </si>
  <si>
    <t>20-621-501 ОП МП 417</t>
  </si>
  <si>
    <t>20-621-501 ОП МП 418</t>
  </si>
  <si>
    <t>20-621-501 ОП МП 419</t>
  </si>
  <si>
    <t>20-621-501 ОП МП 420</t>
  </si>
  <si>
    <t>20-621-501 ОП МП 421</t>
  </si>
  <si>
    <t>20-621-501 ОП МП 422</t>
  </si>
  <si>
    <t>20-621-501 ОП МП 423</t>
  </si>
  <si>
    <t>20-621-501 ОП МП 424</t>
  </si>
  <si>
    <t>20-621-501 ОП МП 425</t>
  </si>
  <si>
    <t>20-621-501 ОП МП 426</t>
  </si>
  <si>
    <t>20-621-501 ОП МП 427</t>
  </si>
  <si>
    <t>20-621-501 ОП МП 428</t>
  </si>
  <si>
    <t>20-621-501 ОП МП 429</t>
  </si>
  <si>
    <t>20-621-501 ОП МП 430</t>
  </si>
  <si>
    <t>20-621-501 ОП МП 431</t>
  </si>
  <si>
    <t>20-621-501 ОП МП 432</t>
  </si>
  <si>
    <t>20-621-501 ОП МП 433</t>
  </si>
  <si>
    <t>20-621-501 ОП МП 434</t>
  </si>
  <si>
    <t>20-621-501 ОП МП 435</t>
  </si>
  <si>
    <t>20-621-501 ОП МП 436</t>
  </si>
  <si>
    <t>20-621-501 ОП МП 437</t>
  </si>
  <si>
    <t>20-621-501 ОП МП 438</t>
  </si>
  <si>
    <t>20-621-501 ОП МП 439</t>
  </si>
  <si>
    <t>20-621-501 ОП МП 440</t>
  </si>
  <si>
    <t>20-621-501 ОП МП 441</t>
  </si>
  <si>
    <t>20-621-501 ОП МП 442</t>
  </si>
  <si>
    <t>20-621-501 ОП МП 443</t>
  </si>
  <si>
    <t>20-621-501 ОП МП 444</t>
  </si>
  <si>
    <t>20-621-501 ОП МП 445</t>
  </si>
  <si>
    <t>20-621-501 ОП МП 446</t>
  </si>
  <si>
    <t>20-621-501 ОП МП 447</t>
  </si>
  <si>
    <t>20-621-501 ОП МП 448</t>
  </si>
  <si>
    <t>20-621-501 ОП МП 449</t>
  </si>
  <si>
    <t>20-621-501 ОП МП 450</t>
  </si>
  <si>
    <t>20-621-501 ОП МП 451</t>
  </si>
  <si>
    <t>20-621-501 ОП МП 452</t>
  </si>
  <si>
    <t>20-621-501 ОП МП 453</t>
  </si>
  <si>
    <t>20-621-501 ОП МП 454</t>
  </si>
  <si>
    <t>20-621-501 ОП МП 455</t>
  </si>
  <si>
    <t>20-621-501 ОП МП 456</t>
  </si>
  <si>
    <t>20-621-501 ОП МП 457</t>
  </si>
  <si>
    <t>20-621-501 ОП МП 458</t>
  </si>
  <si>
    <t>20-621-501 ОП МП 459</t>
  </si>
  <si>
    <t>20-621-501 ОП МП 460</t>
  </si>
  <si>
    <t>20-621-501 ОП МП 461</t>
  </si>
  <si>
    <t>20-621-501 ОП МП 462</t>
  </si>
  <si>
    <t>20-621-501 ОП МП 463</t>
  </si>
  <si>
    <t>20-621-501 ОП МП 464</t>
  </si>
  <si>
    <t>20-621-501 ОП МП 465</t>
  </si>
  <si>
    <t>20-621-501 ОП МП 466</t>
  </si>
  <si>
    <t>20-621-501 ОП МП 467</t>
  </si>
  <si>
    <t>20-621-501 ОП МП 468</t>
  </si>
  <si>
    <t>20-621-501 ОП МП 469</t>
  </si>
  <si>
    <t>20-621-501 ОП МП 470</t>
  </si>
  <si>
    <t>20-621-501 ОП МП 471</t>
  </si>
  <si>
    <t>20-621-501 ОП МП 472</t>
  </si>
  <si>
    <t>20-621-501 ОП МП 473</t>
  </si>
  <si>
    <t>20-621-501 ОП МП 474</t>
  </si>
  <si>
    <t>20-621-501 ОП МП 475</t>
  </si>
  <si>
    <t>20-621-501 ОП МП 476</t>
  </si>
  <si>
    <t>20-621-501 ОП МП 477</t>
  </si>
  <si>
    <t>20-621-501 ОП МП 478</t>
  </si>
  <si>
    <t>20-621-501 ОП МП 479</t>
  </si>
  <si>
    <t>20-621-501 ОП МП 480</t>
  </si>
  <si>
    <t>20-621-501 ОП МП 481</t>
  </si>
  <si>
    <t>20-621-501 ОП МП 482</t>
  </si>
  <si>
    <t>20-621-501 ОП МП 483</t>
  </si>
  <si>
    <t>20-621-501 ОП МП 484</t>
  </si>
  <si>
    <t>20-621-501 ОП МП 485</t>
  </si>
  <si>
    <t>20-621-501 ОП МП 486</t>
  </si>
  <si>
    <t>20-621-501 ОП МП 487</t>
  </si>
  <si>
    <t>20-621-501 ОП МП 488</t>
  </si>
  <si>
    <t>20-621-501 ОП МП 489</t>
  </si>
  <si>
    <t>20-621-501 ОП МП 490</t>
  </si>
  <si>
    <t>20-621-501 ОП МП 491</t>
  </si>
  <si>
    <t>20-621-501 ОП МП 492</t>
  </si>
  <si>
    <t>20-621-501 ОП МП 493</t>
  </si>
  <si>
    <t>20-621-501 ОП МП 494</t>
  </si>
  <si>
    <t>20-621-501 ОП МП 495</t>
  </si>
  <si>
    <t>20-621-501 ОП МП 496</t>
  </si>
  <si>
    <t>20-221-844 ОП МП 01</t>
  </si>
  <si>
    <t>20-221-844 ОП МП 02</t>
  </si>
  <si>
    <t>20-221-844 ОП МП 03</t>
  </si>
  <si>
    <t>20-221-844 ОП МП 04</t>
  </si>
  <si>
    <t>20-221-844 ОП МП 05</t>
  </si>
  <si>
    <t>20-221-844 ОП МП 06</t>
  </si>
  <si>
    <t>20-221-844 ОП МП 07</t>
  </si>
  <si>
    <t>20-221-844 ОП МП 08</t>
  </si>
  <si>
    <t>20-221-844 ОП МП 09</t>
  </si>
  <si>
    <t>20-221-844 ОП МП 10</t>
  </si>
  <si>
    <t>20-221-844 ОП МП 11</t>
  </si>
  <si>
    <t>20-221-844 ОП МП 12</t>
  </si>
  <si>
    <t>20-221-844 ОП МП 13</t>
  </si>
  <si>
    <t>20-221-844 ОП МП 14</t>
  </si>
  <si>
    <t>20-221-844 ОП МП 15</t>
  </si>
  <si>
    <t>20-221-844 ОП МП 16</t>
  </si>
  <si>
    <t>20-221-844 ОП МП 17</t>
  </si>
  <si>
    <t>20-221-844 ОП МП 18</t>
  </si>
  <si>
    <t>20-221-844 ОП МП 19</t>
  </si>
  <si>
    <t>20-221-844 ОП МП 20</t>
  </si>
  <si>
    <t>20-221-844 ОП МП 21</t>
  </si>
  <si>
    <t>20-221-844 ОП МП 22</t>
  </si>
  <si>
    <t>20-221-844 ОП МП 23</t>
  </si>
  <si>
    <t>20-221-844 ОП МП 24</t>
  </si>
  <si>
    <t>20-221-844 ОП МП 25</t>
  </si>
  <si>
    <t>УТВЕРЖДАЮ:</t>
  </si>
  <si>
    <t>Глава администрации</t>
  </si>
  <si>
    <t>Бодеевского сельского поселения</t>
  </si>
  <si>
    <t>__________________Гуньков С.Н.</t>
  </si>
  <si>
    <t>Высокинского сельского поселения</t>
  </si>
  <si>
    <t>__________________Котлярова О.А.</t>
  </si>
  <si>
    <t>Дракинского сельского поселения</t>
  </si>
  <si>
    <t>__________________Блинова И.И.</t>
  </si>
  <si>
    <t>Ковалевского сельского поселения</t>
  </si>
  <si>
    <t>__________________Гайдук Е.К.</t>
  </si>
  <si>
    <t>Перечень автомобильных дорог общего пользования местного значения на территории Ковалевского сельского поселения Лискинского муниципального района Воронежской области</t>
  </si>
  <si>
    <t>Перечень автомобильных дорог общего пользования местного значения на территории Дракинского сельского поселения Лискинского муниципального района Воронежской области</t>
  </si>
  <si>
    <t>Перечень автомобильных дорог общего пользования местного значения на территории Высокинского сельского поселения Лискинского муниципального района Воронежской области</t>
  </si>
  <si>
    <t>Перечень автомобильных дорог общего пользования местного значения на территории Бодеевского сельского поселения Лискинского муниципального района Воронежской области</t>
  </si>
  <si>
    <t>Перечень автомобильных дорог общего пользования местного значения на территории Коломыцевского сельского поселения Лискинского муниципального района Воронежской области</t>
  </si>
  <si>
    <t>Коломыцевского сельского поселения</t>
  </si>
  <si>
    <t>__________________Жидкова И.В.</t>
  </si>
  <si>
    <t>Перечень автомобильных дорог общего пользования местного значения на территории Колыбельского сельского поселения Лискинского муниципального района Воронежской области</t>
  </si>
  <si>
    <t>Колыбельского сельского поселения</t>
  </si>
  <si>
    <t>__________________Бессалько О.В.</t>
  </si>
  <si>
    <t>Перечень автомобильных дорог общего пользования местного значения на территории Копанищенское сельского поселения Лискинского муниципального района Воронежской области</t>
  </si>
  <si>
    <t>Копанищенского сельского поселения</t>
  </si>
  <si>
    <t>__________________Кетов А.М.</t>
  </si>
  <si>
    <t>Перечень автомобильных дорог общего пользования местного значения на территории Краснознаменского сельского поселения Лискинского муниципального района Воронежской области</t>
  </si>
  <si>
    <t>Краснознаменского сельского поселения</t>
  </si>
  <si>
    <t>__________________Квашнина Л.А.</t>
  </si>
  <si>
    <t>Перечень автомобильных дорог общего пользования местного значения на территории Нижнеикорецкого сельского поселения Лискинского муниципального района Воронежской области</t>
  </si>
  <si>
    <t>Нижнеикорецкого сельского поселения</t>
  </si>
  <si>
    <t>__________________Тишков А.Н.</t>
  </si>
  <si>
    <t>Перечень автомобильных дорог общего пользования местного значения на территории Петровского сельского поселения Лискинского муниципального района Воронежской области</t>
  </si>
  <si>
    <t>Петровского сельского поселения</t>
  </si>
  <si>
    <t>__________________Ромасев Н.В.</t>
  </si>
  <si>
    <t>20-221-844 ОП МП 26</t>
  </si>
  <si>
    <t>20-221-844 ОП МП 27</t>
  </si>
  <si>
    <t>20-221-844 ОП МП 28</t>
  </si>
  <si>
    <t>20-221-844 ОП МП 29</t>
  </si>
  <si>
    <t>20-221-844 ОП МП 30</t>
  </si>
  <si>
    <t>20-221-844 ОП МП 31</t>
  </si>
  <si>
    <t>20-221-844 ОП МП 32</t>
  </si>
  <si>
    <t>20-221-844 ОП МП 33</t>
  </si>
  <si>
    <t>20-221-844 ОП МП 34</t>
  </si>
  <si>
    <t>20-221-844 ОП МП 35</t>
  </si>
  <si>
    <t>20-221-844 ОП МП 36</t>
  </si>
  <si>
    <t>20-221-844 ОП МП 37</t>
  </si>
  <si>
    <t>20-221-844 ОП МП 38</t>
  </si>
  <si>
    <t>20-221-844 ОП МП 39</t>
  </si>
  <si>
    <t>20-221-844 ОП МП 40</t>
  </si>
  <si>
    <t>20-221-844 ОП МП 41</t>
  </si>
  <si>
    <t>20-221-844 ОП МП 42</t>
  </si>
  <si>
    <t>20-221-844 ОП МП 43</t>
  </si>
  <si>
    <t>20-221-844 ОП МП 44</t>
  </si>
  <si>
    <t>20-221-844 ОП МП 45</t>
  </si>
  <si>
    <t>Перечень автомобильных дорог общего пользования местного значения на территории Петропавловского сельского поселения Лискинского муниципального района Воронежской области</t>
  </si>
  <si>
    <t>Петропавловского сельского поселения</t>
  </si>
  <si>
    <t>__________________Климов В.А.</t>
  </si>
  <si>
    <t>Почепского сельского поселения</t>
  </si>
  <si>
    <t>__________________Бокова В.И.</t>
  </si>
  <si>
    <t>Перечень автомобильных дорог общего пользования местного значения на территории Почепского сельского поселения Лискинского муниципального района Воронежской области</t>
  </si>
  <si>
    <t>Перечень автомобильных дорог общего пользования местного значения на территории Селявинского сельского поселения Лискинского муниципального района Воронежской области</t>
  </si>
  <si>
    <t>Селявинского сельского поселения</t>
  </si>
  <si>
    <t>__________________Семченко А.Н.</t>
  </si>
  <si>
    <t>Перечень автомобильных дорог общего пользования местного значения на территории Старохворостанского сельского поселения Лискинского муниципального района Воронежской области</t>
  </si>
  <si>
    <t>Старохворостанского сельского поселения</t>
  </si>
  <si>
    <t>__________________Карайчев Ю.И.</t>
  </si>
  <si>
    <t>Перечень автомобильных дорог общего пользования местного значения на территории Среднеикорецкого сельского поселения Лискинского муниципального района Воронежской области</t>
  </si>
  <si>
    <t>Среднеикорецкого сельского поселения</t>
  </si>
  <si>
    <t>__________________Нестеров А.П.</t>
  </si>
  <si>
    <t>Перечень автомобильных дорог общего пользования местного значения на территории Степнянского сельского поселения Лискинского муниципального района Воронежской области</t>
  </si>
  <si>
    <t>Степнянского сельского поселения</t>
  </si>
  <si>
    <t>__________________Смирнова Н.А.</t>
  </si>
  <si>
    <t>Сторожевского Второго сельского поселения</t>
  </si>
  <si>
    <t>__________________Соколова Н.П.</t>
  </si>
  <si>
    <t>20-221-868 ОП МП 13</t>
  </si>
  <si>
    <t>20-221-868 ОП МП 14</t>
  </si>
  <si>
    <t>20-221-868 ОП МП 15</t>
  </si>
  <si>
    <t>20-221-868 ОП МП 16</t>
  </si>
  <si>
    <t>20-221-868 ОП МП 17</t>
  </si>
  <si>
    <t>20-221-868 ОП МП 18</t>
  </si>
  <si>
    <t>20-221-868 ОП МП 19</t>
  </si>
  <si>
    <t>20-221-868 ОП МП 20</t>
  </si>
  <si>
    <t>20-221-868 ОП МП 21</t>
  </si>
  <si>
    <t>20-221-868 ОП МП 22</t>
  </si>
  <si>
    <t>20-221-868 ОП МП 23</t>
  </si>
  <si>
    <t>Перечень автомобильных дорог общего пользования местного значения на территории Сторожевского Второго сельского поселения Лискинского муниципального района Воронежской области</t>
  </si>
  <si>
    <t>Перечень автомобильных дорог общего пользования местного значения на территории Тресоруковского сельского поселения Лискинского муниципального района Воронежской области</t>
  </si>
  <si>
    <t>Тресоруковского сельского поселения</t>
  </si>
  <si>
    <t>__________________Минько Н.А.</t>
  </si>
  <si>
    <t>Перечень автомобильных дорог общего пользования местного значения на территории Троицкого сельского поселения Лискинского муниципального района Воронежской области</t>
  </si>
  <si>
    <t>Троицкого сельского поселения</t>
  </si>
  <si>
    <t>__________________Шумский В.И.</t>
  </si>
  <si>
    <t>Перечень автомобильных дорог общего пользования местного значения на территории Щучинского сельского поселения Лискинского муниципального района Воронежской области</t>
  </si>
  <si>
    <t>Щучинского сельского поселения</t>
  </si>
  <si>
    <t>__________________Лютиков И.Н.</t>
  </si>
  <si>
    <t>Перечень автомобильных дорог общего пользования местного значения на территории Давыдовского городского поселения Лискинского муниципального района Воронежской области</t>
  </si>
  <si>
    <t>Давыдовского городского поселения</t>
  </si>
  <si>
    <t>Перечень автомобильных дорог общего пользования местного значения на территории городского поселения город Лиски Лискинского муниципального района Воронежской области</t>
  </si>
  <si>
    <t>городского поселения г. Лиски</t>
  </si>
  <si>
    <t>__________________Митюрёв Е.В.</t>
  </si>
  <si>
    <t>__________________Атаманова Е.Н.</t>
  </si>
  <si>
    <t>с. Средний Икорец ул. Кооперативная</t>
  </si>
  <si>
    <t>с. Селявное 2-е ул. Подгорная</t>
  </si>
  <si>
    <t>Петровское с.п. подъезд к пруду №2</t>
  </si>
  <si>
    <t>с. Высокое ул. 9 Мая</t>
  </si>
  <si>
    <t>И.о. главы администрации</t>
  </si>
  <si>
    <t>__________________Соломатин Ю.В.</t>
  </si>
  <si>
    <t>Залуженского сельского поселения</t>
  </si>
  <si>
    <t>с. Залужное 1 пер. Тургенева</t>
  </si>
  <si>
    <t>с. Залужное 2 пер. Тургенева</t>
  </si>
  <si>
    <t xml:space="preserve">с. Залужное ул. Тургенева </t>
  </si>
  <si>
    <t>Перечень автомобильных дорог общего пользования местного значения на территории Залуженского сельского поселения Лискинского муниципального района Воронежской области</t>
  </si>
  <si>
    <t>Залуженское сельское поселение</t>
  </si>
  <si>
    <t>20-221-812 ОП МП 01</t>
  </si>
  <si>
    <t>с. Дракино Е. Боброва</t>
  </si>
  <si>
    <t>Проезд от ул. Маяковского до ул. Чайковского</t>
  </si>
  <si>
    <t>Проезд от ул. Мира до администрации г. Лиски</t>
  </si>
  <si>
    <t>Проезд от ул. Свердлова до администрации г. Лиски</t>
  </si>
  <si>
    <t>Проезд от ул. Трудовые Резервы до ул. Лысенко</t>
  </si>
  <si>
    <t>20-621-501 ОП МП 497</t>
  </si>
  <si>
    <t>20-621-501 ОП МП 498</t>
  </si>
  <si>
    <t>20-621-501 ОП МП 499</t>
  </si>
  <si>
    <t>20-621-501 ОП МП 500</t>
  </si>
  <si>
    <t>с. Троицкое - о. Подпельное</t>
  </si>
  <si>
    <t>п. Давыдовка ул. Гагарина</t>
  </si>
  <si>
    <t>п. Давыдовка ул. Ф. Энгельса</t>
  </si>
  <si>
    <t>п. Давыдовка ул. 50 лет Октября</t>
  </si>
  <si>
    <t>п. Давыдовка ул. Ракитина</t>
  </si>
  <si>
    <t>п. Давыдовка ул. Комсомольская</t>
  </si>
  <si>
    <t xml:space="preserve">п. Давыдовка ул. Заря Свободы </t>
  </si>
  <si>
    <t>п. Давыдовка ул. Красноармейская</t>
  </si>
  <si>
    <t xml:space="preserve">п. Давыдовка ул. Октябрьская </t>
  </si>
  <si>
    <t xml:space="preserve">п. Давыдовка ул. Филипченко </t>
  </si>
  <si>
    <t xml:space="preserve">п. Давыдовка ул. Молодёжная </t>
  </si>
  <si>
    <t>п. Давыдовка ул. Филипченко - ул. Молодежная</t>
  </si>
  <si>
    <t>п. Давыдовка ул. Пролетарская</t>
  </si>
  <si>
    <t>п. Давыдовка подъезд к водозабору</t>
  </si>
  <si>
    <t>п. Давыдовка ул. 50 лет Победы</t>
  </si>
  <si>
    <t>п. Давыдовка ул. Весенняя</t>
  </si>
  <si>
    <t>п. Давыдовка ул. Колхозная</t>
  </si>
  <si>
    <t>п. Давыдовка ул. 30 лет Победы</t>
  </si>
  <si>
    <t xml:space="preserve">п. Давыдовка ул. Садовая </t>
  </si>
  <si>
    <t>п. Давыдовка ул. Почтовая</t>
  </si>
  <si>
    <t>п. Давыдовка ул. Ленина</t>
  </si>
  <si>
    <t xml:space="preserve">п. Давыдовка ул. 40 лет Октября </t>
  </si>
  <si>
    <t>п. Давыдовка ул. 60 лет Октября</t>
  </si>
  <si>
    <t>п. Давыдовка ул. Крамского</t>
  </si>
  <si>
    <t xml:space="preserve">п. Давыдовка ул. Коммунистическая </t>
  </si>
  <si>
    <t>п. Давыдовка ул. Советская</t>
  </si>
  <si>
    <t>п. Давыдовка ул. Ветрова</t>
  </si>
  <si>
    <t>п. Давыдовка ул. Луговая</t>
  </si>
  <si>
    <t xml:space="preserve">п. Давыдовка ул. Кошелева </t>
  </si>
  <si>
    <t>Заместитель главы администрации Лискинского муниципального района Воронежской области</t>
  </si>
  <si>
    <t>Перечень автомобильных дорог общего пользования местного значения на территории Лискинского муниципального района Воронежской области</t>
  </si>
  <si>
    <t>_________________ В.А. Щёлоков</t>
  </si>
  <si>
    <t>с.Пухово ул.Центральная - с.Ковалёво</t>
  </si>
  <si>
    <t>п. Давыдовка ул. Комарова</t>
  </si>
  <si>
    <t>с. Высокое дорога к кладбищу</t>
  </si>
  <si>
    <t>20-221-872 ОП МП 66</t>
  </si>
  <si>
    <t>с. Тресоруково ул. Садовая</t>
  </si>
  <si>
    <t>с. Лискинское ул. Дорожная 2-я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</si>
</sst>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b/>
      <i/>
      <u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1E1E1E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scheme val="minor"/>
    </font>
    <font>
      <b/>
      <sz val="24"/>
      <color indexed="8"/>
      <name val="Calibri"/>
      <family val="2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0" xfId="0" applyFill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2" fillId="0" borderId="3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wrapText="1"/>
    </xf>
    <xf numFmtId="165" fontId="1" fillId="0" borderId="3" xfId="0" applyNumberFormat="1" applyFont="1" applyBorder="1" applyAlignment="1" applyProtection="1">
      <alignment horizontal="center" vertical="center" wrapText="1"/>
      <protection locked="0"/>
    </xf>
    <xf numFmtId="165" fontId="0" fillId="0" borderId="0" xfId="0" applyNumberFormat="1" applyProtection="1">
      <protection locked="0"/>
    </xf>
    <xf numFmtId="165" fontId="0" fillId="0" borderId="0" xfId="0" applyNumberFormat="1" applyAlignment="1" applyProtection="1">
      <alignment wrapText="1"/>
      <protection locked="0"/>
    </xf>
    <xf numFmtId="2" fontId="4" fillId="0" borderId="3" xfId="0" applyNumberFormat="1" applyFont="1" applyFill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vertical="top" wrapText="1"/>
    </xf>
    <xf numFmtId="2" fontId="6" fillId="2" borderId="20" xfId="0" applyNumberFormat="1" applyFont="1" applyFill="1" applyBorder="1" applyAlignment="1" applyProtection="1">
      <alignment vertical="top" wrapText="1"/>
    </xf>
    <xf numFmtId="165" fontId="6" fillId="2" borderId="20" xfId="0" applyNumberFormat="1" applyFont="1" applyFill="1" applyBorder="1" applyAlignment="1" applyProtection="1">
      <alignment horizontal="center" vertical="center" wrapText="1"/>
    </xf>
    <xf numFmtId="165" fontId="6" fillId="2" borderId="21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  <protection locked="0"/>
    </xf>
    <xf numFmtId="165" fontId="6" fillId="2" borderId="23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1" fontId="0" fillId="0" borderId="6" xfId="0" applyNumberFormat="1" applyBorder="1" applyAlignment="1" applyProtection="1">
      <alignment horizontal="center" vertical="center" wrapText="1"/>
      <protection locked="0"/>
    </xf>
    <xf numFmtId="1" fontId="0" fillId="0" borderId="7" xfId="0" applyNumberFormat="1" applyBorder="1" applyAlignment="1" applyProtection="1">
      <alignment horizontal="center" vertical="center" wrapText="1"/>
      <protection locked="0"/>
    </xf>
    <xf numFmtId="1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  <protection locked="0"/>
    </xf>
    <xf numFmtId="165" fontId="6" fillId="2" borderId="29" xfId="0" applyNumberFormat="1" applyFont="1" applyFill="1" applyBorder="1" applyAlignment="1" applyProtection="1">
      <alignment horizontal="center" vertical="center" wrapText="1"/>
    </xf>
    <xf numFmtId="165" fontId="6" fillId="2" borderId="3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4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wrapText="1"/>
      <protection locked="0"/>
    </xf>
    <xf numFmtId="164" fontId="4" fillId="0" borderId="3" xfId="0" applyNumberFormat="1" applyFont="1" applyFill="1" applyBorder="1" applyAlignment="1" applyProtection="1">
      <alignment vertical="center" wrapText="1"/>
      <protection locked="0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165" fontId="6" fillId="2" borderId="26" xfId="0" applyNumberFormat="1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4" fillId="0" borderId="3" xfId="0" applyNumberFormat="1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 applyProtection="1"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2" fillId="3" borderId="3" xfId="0" applyFont="1" applyFill="1" applyBorder="1" applyAlignment="1">
      <alignment vertical="top" wrapText="1"/>
    </xf>
    <xf numFmtId="2" fontId="4" fillId="3" borderId="3" xfId="0" applyNumberFormat="1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165" fontId="6" fillId="3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>
      <alignment horizontal="center" vertical="center" wrapText="1"/>
    </xf>
    <xf numFmtId="165" fontId="5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26" xfId="0" applyNumberFormat="1" applyFont="1" applyFill="1" applyBorder="1" applyAlignment="1" applyProtection="1">
      <alignment horizontal="center" vertical="center"/>
      <protection locked="0"/>
    </xf>
    <xf numFmtId="164" fontId="4" fillId="0" borderId="27" xfId="0" applyNumberFormat="1" applyFont="1" applyFill="1" applyBorder="1" applyAlignment="1" applyProtection="1">
      <alignment horizontal="center" vertical="center"/>
      <protection locked="0"/>
    </xf>
    <xf numFmtId="2" fontId="6" fillId="2" borderId="20" xfId="0" applyNumberFormat="1" applyFont="1" applyFill="1" applyBorder="1" applyAlignment="1" applyProtection="1">
      <alignment horizontal="center" vertical="center" wrapText="1"/>
    </xf>
    <xf numFmtId="2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4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1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wrapText="1"/>
    </xf>
    <xf numFmtId="0" fontId="4" fillId="0" borderId="0" xfId="0" applyFont="1" applyFill="1" applyBorder="1" applyAlignment="1" applyProtection="1">
      <alignment vertical="top" wrapText="1"/>
      <protection locked="0"/>
    </xf>
    <xf numFmtId="165" fontId="0" fillId="0" borderId="0" xfId="0" applyNumberFormat="1" applyBorder="1" applyAlignment="1" applyProtection="1">
      <alignment horizontal="center" vertical="center" wrapText="1"/>
      <protection locked="0"/>
    </xf>
    <xf numFmtId="0" fontId="0" fillId="0" borderId="0" xfId="0" applyFill="1" applyBorder="1" applyProtection="1">
      <protection locked="0"/>
    </xf>
    <xf numFmtId="0" fontId="13" fillId="0" borderId="0" xfId="0" applyFont="1" applyBorder="1" applyAlignment="1" applyProtection="1">
      <alignment horizontal="center" vertical="top" wrapText="1"/>
      <protection locked="0"/>
    </xf>
    <xf numFmtId="49" fontId="4" fillId="0" borderId="0" xfId="0" applyNumberFormat="1" applyFont="1" applyFill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 wrapText="1"/>
      <protection locked="0"/>
    </xf>
    <xf numFmtId="165" fontId="18" fillId="0" borderId="0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>
      <alignment horizontal="center" vertical="center" wrapText="1"/>
    </xf>
    <xf numFmtId="0" fontId="0" fillId="3" borderId="0" xfId="0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horizontal="center" vertical="center" wrapText="1"/>
      <protection locked="0"/>
    </xf>
    <xf numFmtId="165" fontId="6" fillId="3" borderId="0" xfId="0" applyNumberFormat="1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vertical="top" wrapText="1"/>
    </xf>
    <xf numFmtId="2" fontId="4" fillId="3" borderId="0" xfId="0" applyNumberFormat="1" applyFont="1" applyFill="1" applyBorder="1" applyAlignment="1" applyProtection="1">
      <alignment horizontal="center" vertical="top" wrapText="1"/>
      <protection locked="0"/>
    </xf>
    <xf numFmtId="165" fontId="1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Protection="1">
      <protection locked="0"/>
    </xf>
    <xf numFmtId="0" fontId="12" fillId="3" borderId="0" xfId="0" applyFont="1" applyFill="1" applyBorder="1" applyAlignment="1">
      <alignment horizontal="left" vertical="top" wrapText="1"/>
    </xf>
    <xf numFmtId="0" fontId="12" fillId="3" borderId="0" xfId="0" applyFont="1" applyFill="1" applyBorder="1" applyAlignment="1">
      <alignment wrapText="1"/>
    </xf>
    <xf numFmtId="0" fontId="1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 applyProtection="1">
      <alignment vertical="top" wrapText="1"/>
      <protection locked="0"/>
    </xf>
    <xf numFmtId="2" fontId="4" fillId="3" borderId="0" xfId="0" applyNumberFormat="1" applyFont="1" applyFill="1" applyBorder="1" applyAlignment="1" applyProtection="1">
      <alignment vertical="top" wrapText="1"/>
      <protection locked="0"/>
    </xf>
    <xf numFmtId="165" fontId="0" fillId="3" borderId="0" xfId="0" applyNumberForma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Border="1" applyAlignment="1">
      <alignment vertical="top" wrapText="1"/>
    </xf>
    <xf numFmtId="0" fontId="13" fillId="3" borderId="0" xfId="0" applyFont="1" applyFill="1" applyBorder="1"/>
    <xf numFmtId="0" fontId="13" fillId="3" borderId="0" xfId="0" applyFont="1" applyFill="1" applyBorder="1" applyAlignment="1">
      <alignment horizontal="justify" vertical="top" wrapText="1"/>
    </xf>
    <xf numFmtId="0" fontId="14" fillId="3" borderId="0" xfId="0" applyFont="1" applyFill="1" applyBorder="1"/>
    <xf numFmtId="0" fontId="14" fillId="3" borderId="0" xfId="0" applyFont="1" applyFill="1" applyBorder="1" applyProtection="1">
      <protection locked="0"/>
    </xf>
    <xf numFmtId="0" fontId="15" fillId="3" borderId="0" xfId="0" applyFont="1" applyFill="1" applyBorder="1"/>
    <xf numFmtId="0" fontId="15" fillId="3" borderId="0" xfId="0" applyFont="1" applyFill="1" applyBorder="1" applyAlignment="1">
      <alignment vertical="top" wrapText="1"/>
    </xf>
    <xf numFmtId="0" fontId="0" fillId="3" borderId="0" xfId="0" applyFont="1" applyFill="1" applyBorder="1" applyProtection="1">
      <protection locked="0"/>
    </xf>
    <xf numFmtId="0" fontId="13" fillId="3" borderId="0" xfId="0" applyFont="1" applyFill="1" applyBorder="1" applyAlignment="1" applyProtection="1">
      <alignment horizontal="center" vertical="top" wrapText="1"/>
      <protection locked="0"/>
    </xf>
    <xf numFmtId="0" fontId="13" fillId="3" borderId="0" xfId="0" applyFont="1" applyFill="1" applyBorder="1" applyAlignment="1" applyProtection="1">
      <alignment vertical="top" wrapText="1"/>
      <protection locked="0"/>
    </xf>
    <xf numFmtId="0" fontId="13" fillId="3" borderId="0" xfId="0" applyFont="1" applyFill="1" applyBorder="1" applyAlignment="1" applyProtection="1">
      <alignment horizontal="right" vertical="top" wrapText="1"/>
      <protection locked="0"/>
    </xf>
    <xf numFmtId="49" fontId="4" fillId="3" borderId="0" xfId="0" applyNumberFormat="1" applyFont="1" applyFill="1" applyBorder="1" applyAlignment="1" applyProtection="1">
      <alignment vertical="top" wrapText="1"/>
      <protection locked="0"/>
    </xf>
    <xf numFmtId="49" fontId="0" fillId="3" borderId="0" xfId="0" applyNumberFormat="1" applyFill="1" applyBorder="1" applyAlignment="1" applyProtection="1">
      <alignment horizontal="center" vertical="center" wrapText="1"/>
      <protection locked="0"/>
    </xf>
    <xf numFmtId="0" fontId="16" fillId="3" borderId="0" xfId="0" applyFont="1" applyFill="1" applyBorder="1" applyAlignment="1">
      <alignment vertical="top" wrapText="1"/>
    </xf>
    <xf numFmtId="0" fontId="14" fillId="3" borderId="0" xfId="0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Border="1" applyAlignment="1">
      <alignment horizontal="center" vertical="top" wrapText="1"/>
    </xf>
    <xf numFmtId="0" fontId="17" fillId="3" borderId="0" xfId="0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Border="1" applyAlignment="1">
      <alignment horizontal="center" vertical="center" wrapText="1"/>
    </xf>
    <xf numFmtId="2" fontId="17" fillId="3" borderId="0" xfId="0" applyNumberFormat="1" applyFont="1" applyFill="1" applyBorder="1" applyAlignment="1" applyProtection="1">
      <alignment horizontal="center" vertical="center" wrapText="1"/>
      <protection locked="0"/>
    </xf>
    <xf numFmtId="165" fontId="18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0" xfId="0" applyFont="1" applyFill="1" applyBorder="1" applyAlignment="1">
      <alignment horizontal="center" vertical="center" wrapText="1"/>
    </xf>
    <xf numFmtId="0" fontId="0" fillId="3" borderId="3" xfId="0" applyFill="1" applyBorder="1" applyAlignment="1" applyProtection="1">
      <alignment horizontal="center" vertical="center" wrapText="1"/>
      <protection locked="0"/>
    </xf>
    <xf numFmtId="165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165" fontId="6" fillId="4" borderId="3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vertical="center" wrapText="1"/>
      <protection locked="0"/>
    </xf>
    <xf numFmtId="1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vertical="top" wrapText="1"/>
    </xf>
    <xf numFmtId="2" fontId="6" fillId="2" borderId="3" xfId="0" applyNumberFormat="1" applyFont="1" applyFill="1" applyBorder="1" applyAlignment="1" applyProtection="1">
      <alignment vertical="top" wrapText="1"/>
    </xf>
    <xf numFmtId="2" fontId="6" fillId="2" borderId="3" xfId="0" applyNumberFormat="1" applyFont="1" applyFill="1" applyBorder="1" applyAlignment="1" applyProtection="1">
      <alignment horizontal="center" vertical="center" wrapText="1"/>
    </xf>
    <xf numFmtId="165" fontId="6" fillId="0" borderId="0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165" fontId="2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165" fontId="0" fillId="0" borderId="0" xfId="0" applyNumberFormat="1" applyBorder="1" applyAlignment="1" applyProtection="1">
      <alignment wrapText="1"/>
      <protection locked="0"/>
    </xf>
    <xf numFmtId="1" fontId="20" fillId="4" borderId="3" xfId="0" applyNumberFormat="1" applyFont="1" applyFill="1" applyBorder="1" applyAlignment="1" applyProtection="1">
      <alignment horizontal="center" vertical="center" wrapText="1"/>
      <protection locked="0"/>
    </xf>
    <xf numFmtId="2" fontId="6" fillId="4" borderId="3" xfId="0" applyNumberFormat="1" applyFont="1" applyFill="1" applyBorder="1" applyAlignment="1" applyProtection="1">
      <alignment horizontal="center" vertical="center" wrapText="1"/>
      <protection locked="0"/>
    </xf>
    <xf numFmtId="2" fontId="6" fillId="4" borderId="3" xfId="0" applyNumberFormat="1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wrapText="1"/>
      <protection locked="0"/>
    </xf>
    <xf numFmtId="16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3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right"/>
    </xf>
    <xf numFmtId="1" fontId="0" fillId="0" borderId="33" xfId="0" applyNumberFormat="1" applyBorder="1" applyAlignment="1" applyProtection="1">
      <alignment horizontal="center" vertical="center" wrapText="1"/>
      <protection locked="0"/>
    </xf>
    <xf numFmtId="1" fontId="0" fillId="0" borderId="30" xfId="0" applyNumberFormat="1" applyBorder="1" applyAlignment="1" applyProtection="1">
      <alignment horizontal="center" vertical="center" wrapText="1"/>
      <protection locked="0"/>
    </xf>
    <xf numFmtId="1" fontId="4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165" fontId="21" fillId="0" borderId="3" xfId="0" applyNumberFormat="1" applyFont="1" applyBorder="1" applyAlignment="1" applyProtection="1">
      <alignment horizontal="center" vertical="center" wrapText="1"/>
      <protection locked="0"/>
    </xf>
    <xf numFmtId="0" fontId="17" fillId="3" borderId="3" xfId="0" applyFont="1" applyFill="1" applyBorder="1" applyAlignment="1">
      <alignment vertical="top" wrapText="1"/>
    </xf>
    <xf numFmtId="165" fontId="6" fillId="2" borderId="20" xfId="0" applyNumberFormat="1" applyFont="1" applyFill="1" applyBorder="1" applyAlignment="1" applyProtection="1">
      <alignment horizontal="center" vertical="top" wrapText="1"/>
    </xf>
    <xf numFmtId="0" fontId="0" fillId="0" borderId="3" xfId="0" applyBorder="1" applyAlignment="1" applyProtection="1">
      <alignment horizontal="center" vertical="center"/>
      <protection locked="0"/>
    </xf>
    <xf numFmtId="1" fontId="0" fillId="0" borderId="4" xfId="0" applyNumberFormat="1" applyBorder="1" applyAlignment="1" applyProtection="1">
      <alignment horizontal="center" vertical="center" wrapText="1"/>
      <protection locked="0"/>
    </xf>
    <xf numFmtId="1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0" xfId="0" applyNumberFormat="1" applyFont="1" applyBorder="1" applyAlignment="1" applyProtection="1">
      <alignment horizontal="center" vertical="center" wrapText="1"/>
      <protection locked="0"/>
    </xf>
    <xf numFmtId="165" fontId="24" fillId="3" borderId="0" xfId="0" applyNumberFormat="1" applyFont="1" applyFill="1" applyBorder="1" applyAlignment="1" applyProtection="1">
      <alignment horizontal="center" vertical="center" wrapText="1"/>
    </xf>
    <xf numFmtId="165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21" xfId="0" applyNumberFormat="1" applyFont="1" applyFill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3" xfId="0" applyNumberFormat="1" applyFont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0" fillId="3" borderId="3" xfId="0" applyFill="1" applyBorder="1" applyAlignment="1" applyProtection="1">
      <alignment wrapText="1"/>
      <protection locked="0"/>
    </xf>
    <xf numFmtId="165" fontId="9" fillId="0" borderId="0" xfId="0" applyNumberFormat="1" applyFont="1" applyBorder="1" applyAlignment="1" applyProtection="1">
      <alignment horizontal="right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4" fillId="3" borderId="0" xfId="0" applyFont="1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 applyProtection="1">
      <alignment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wrapText="1"/>
      <protection locked="0"/>
    </xf>
    <xf numFmtId="0" fontId="4" fillId="0" borderId="31" xfId="0" applyFont="1" applyFill="1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wrapText="1"/>
      <protection locked="0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12" xfId="0" applyBorder="1" applyAlignment="1">
      <alignment wrapText="1"/>
    </xf>
  </cellXfs>
  <cellStyles count="1">
    <cellStyle name="Обычный" xfId="0" builtinId="0"/>
  </cellStyles>
  <dxfs count="43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533"/>
  <sheetViews>
    <sheetView view="pageBreakPreview" topLeftCell="A12" zoomScale="115" zoomScaleNormal="115" zoomScaleSheetLayoutView="115" workbookViewId="0">
      <selection activeCell="C35" sqref="C35"/>
    </sheetView>
  </sheetViews>
  <sheetFormatPr defaultColWidth="9.140625" defaultRowHeight="15" x14ac:dyDescent="0.25"/>
  <cols>
    <col min="1" max="2" width="9.140625" style="80"/>
    <col min="3" max="3" width="26.28515625" style="80" customWidth="1"/>
    <col min="4" max="4" width="17" style="80" customWidth="1"/>
    <col min="5" max="5" width="15.5703125" style="80" customWidth="1"/>
    <col min="6" max="6" width="16.5703125" style="80" customWidth="1"/>
    <col min="7" max="7" width="17.5703125" style="100" customWidth="1"/>
    <col min="8" max="8" width="27" style="80" customWidth="1"/>
    <col min="9" max="16384" width="9.140625" style="80"/>
  </cols>
  <sheetData>
    <row r="1" spans="3:8" ht="28.5" customHeight="1" x14ac:dyDescent="0.25">
      <c r="C1" s="174" t="s">
        <v>1616</v>
      </c>
      <c r="D1" s="174"/>
      <c r="E1" s="174"/>
      <c r="F1" s="174"/>
      <c r="G1" s="174"/>
    </row>
    <row r="2" spans="3:8" s="74" customFormat="1" ht="41.25" customHeight="1" x14ac:dyDescent="0.25">
      <c r="C2" s="171" t="s">
        <v>6</v>
      </c>
      <c r="D2" s="173" t="s">
        <v>16</v>
      </c>
      <c r="E2" s="173"/>
      <c r="F2" s="172"/>
      <c r="G2" s="175" t="s">
        <v>5</v>
      </c>
    </row>
    <row r="3" spans="3:8" s="74" customFormat="1" ht="60" customHeight="1" x14ac:dyDescent="0.25">
      <c r="C3" s="172"/>
      <c r="D3" s="164" t="s">
        <v>3</v>
      </c>
      <c r="E3" s="164" t="s">
        <v>24</v>
      </c>
      <c r="F3" s="140" t="s">
        <v>4</v>
      </c>
      <c r="G3" s="176"/>
    </row>
    <row r="4" spans="3:8" s="74" customFormat="1" ht="21.75" customHeight="1" x14ac:dyDescent="0.25">
      <c r="C4" s="131">
        <v>1</v>
      </c>
      <c r="D4" s="132">
        <v>2</v>
      </c>
      <c r="E4" s="131">
        <v>3</v>
      </c>
      <c r="F4" s="131">
        <v>4</v>
      </c>
      <c r="G4" s="128">
        <v>5</v>
      </c>
    </row>
    <row r="5" spans="3:8" s="74" customFormat="1" ht="21.75" customHeight="1" x14ac:dyDescent="0.25">
      <c r="C5" s="145" t="s">
        <v>1074</v>
      </c>
      <c r="D5" s="146">
        <f>SUM(D6,D29)</f>
        <v>862.21170000000006</v>
      </c>
      <c r="E5" s="146">
        <f t="shared" ref="E5:G5" si="0">SUM(E6,E29)</f>
        <v>507.46820000000002</v>
      </c>
      <c r="F5" s="146">
        <f>SUM(F6,F29)</f>
        <v>1257.2290000000003</v>
      </c>
      <c r="G5" s="146">
        <f t="shared" si="0"/>
        <v>2119.4407000000001</v>
      </c>
    </row>
    <row r="6" spans="3:8" s="74" customFormat="1" ht="29.25" customHeight="1" x14ac:dyDescent="0.25">
      <c r="C6" s="133" t="s">
        <v>1073</v>
      </c>
      <c r="D6" s="147">
        <f t="shared" ref="D6:F6" si="1">SUM(D7:D28)</f>
        <v>624.15370000000007</v>
      </c>
      <c r="E6" s="147">
        <f t="shared" si="1"/>
        <v>292.85919999999999</v>
      </c>
      <c r="F6" s="147">
        <f t="shared" si="1"/>
        <v>1030.5680000000002</v>
      </c>
      <c r="G6" s="147">
        <f>SUM(G7:G28)</f>
        <v>1654.7217000000001</v>
      </c>
      <c r="H6" s="144"/>
    </row>
    <row r="7" spans="3:8" s="74" customFormat="1" ht="29.25" customHeight="1" x14ac:dyDescent="0.25">
      <c r="C7" s="148" t="s">
        <v>1633</v>
      </c>
      <c r="D7" s="10">
        <f>Район!H4</f>
        <v>23.719000000000001</v>
      </c>
      <c r="E7" s="10">
        <f>Район!I4</f>
        <v>23.719000000000001</v>
      </c>
      <c r="F7" s="10">
        <f>Район!J4</f>
        <v>0</v>
      </c>
      <c r="G7" s="64">
        <f>SUM(F7,D7)</f>
        <v>23.719000000000001</v>
      </c>
      <c r="H7" s="144"/>
    </row>
    <row r="8" spans="3:8" s="74" customFormat="1" ht="29.25" customHeight="1" x14ac:dyDescent="0.25">
      <c r="C8" s="14" t="s">
        <v>1052</v>
      </c>
      <c r="D8" s="10">
        <f>'Бодеевское с.п.'!H10</f>
        <v>17.423999999999999</v>
      </c>
      <c r="E8" s="10">
        <f>'Бодеевское с.п.'!I10</f>
        <v>5.5244999999999989</v>
      </c>
      <c r="F8" s="10">
        <f>'Бодеевское с.п.'!J10</f>
        <v>66.378000000000014</v>
      </c>
      <c r="G8" s="64">
        <f>SUM(F8,D8)</f>
        <v>83.802000000000021</v>
      </c>
      <c r="H8" s="144"/>
    </row>
    <row r="9" spans="3:8" s="74" customFormat="1" ht="23.25" customHeight="1" x14ac:dyDescent="0.25">
      <c r="C9" s="14" t="s">
        <v>1053</v>
      </c>
      <c r="D9" s="10">
        <f>'Высокинское с.п.'!H10</f>
        <v>34.539000000000016</v>
      </c>
      <c r="E9" s="10">
        <f>'Высокинское с.п.'!I10</f>
        <v>13.177000000000003</v>
      </c>
      <c r="F9" s="10">
        <f>'Высокинское с.п.'!J10</f>
        <v>51.708000000000006</v>
      </c>
      <c r="G9" s="64">
        <f t="shared" ref="G9:G31" si="2">SUM(F9,D9)</f>
        <v>86.247000000000014</v>
      </c>
      <c r="H9" s="144"/>
    </row>
    <row r="10" spans="3:8" s="74" customFormat="1" ht="23.25" customHeight="1" x14ac:dyDescent="0.25">
      <c r="C10" s="14" t="s">
        <v>1054</v>
      </c>
      <c r="D10" s="10">
        <f>'Дракинское с.п.'!H9</f>
        <v>20.884</v>
      </c>
      <c r="E10" s="10">
        <f>'Дракинское с.п.'!I9</f>
        <v>12.654999999999999</v>
      </c>
      <c r="F10" s="10">
        <f>'Дракинское с.п.'!J9</f>
        <v>39.872999999999998</v>
      </c>
      <c r="G10" s="64">
        <f t="shared" si="2"/>
        <v>60.756999999999998</v>
      </c>
      <c r="H10" s="144"/>
    </row>
    <row r="11" spans="3:8" s="74" customFormat="1" ht="23.25" customHeight="1" x14ac:dyDescent="0.25">
      <c r="C11" s="14" t="s">
        <v>1055</v>
      </c>
      <c r="D11" s="10">
        <f>'Залуженское с.п.'!H10</f>
        <v>56.740700000000004</v>
      </c>
      <c r="E11" s="10">
        <f>'Залуженское с.п.'!I10</f>
        <v>22.438699999999994</v>
      </c>
      <c r="F11" s="10">
        <f>'Залуженское с.п.'!J10</f>
        <v>58.066999999999993</v>
      </c>
      <c r="G11" s="64">
        <f t="shared" si="2"/>
        <v>114.8077</v>
      </c>
      <c r="H11" s="144"/>
    </row>
    <row r="12" spans="3:8" s="74" customFormat="1" ht="23.25" customHeight="1" x14ac:dyDescent="0.25">
      <c r="C12" s="14" t="s">
        <v>1056</v>
      </c>
      <c r="D12" s="10">
        <f>'Ковалевское с.п.'!H10</f>
        <v>27.422999999999995</v>
      </c>
      <c r="E12" s="10">
        <f>'Ковалевское с.п.'!I10</f>
        <v>14.199000000000002</v>
      </c>
      <c r="F12" s="10">
        <f>'Ковалевское с.п.'!J10</f>
        <v>25.326000000000001</v>
      </c>
      <c r="G12" s="64">
        <f t="shared" si="2"/>
        <v>52.748999999999995</v>
      </c>
      <c r="H12" s="144"/>
    </row>
    <row r="13" spans="3:8" s="74" customFormat="1" ht="23.25" customHeight="1" x14ac:dyDescent="0.25">
      <c r="C13" s="14" t="s">
        <v>1057</v>
      </c>
      <c r="D13" s="10">
        <f>'Коломыцевское с.п.'!H10</f>
        <v>15.829000000000001</v>
      </c>
      <c r="E13" s="10">
        <f>'Коломыцевское с.п.'!I10</f>
        <v>11.957999999999998</v>
      </c>
      <c r="F13" s="10">
        <f>'Коломыцевское с.п.'!J10</f>
        <v>34.466000000000001</v>
      </c>
      <c r="G13" s="64">
        <f t="shared" si="2"/>
        <v>50.295000000000002</v>
      </c>
      <c r="H13" s="144"/>
    </row>
    <row r="14" spans="3:8" s="74" customFormat="1" ht="23.25" customHeight="1" x14ac:dyDescent="0.25">
      <c r="C14" s="14" t="s">
        <v>1058</v>
      </c>
      <c r="D14" s="10">
        <f>'Колыбельское с.п.'!H10</f>
        <v>22.874000000000002</v>
      </c>
      <c r="E14" s="10">
        <f>'Колыбельское с.п.'!I10</f>
        <v>7.3090000000000002</v>
      </c>
      <c r="F14" s="10">
        <f>'Колыбельское с.п.'!J10</f>
        <v>29.894999999999996</v>
      </c>
      <c r="G14" s="64">
        <f t="shared" si="2"/>
        <v>52.768999999999998</v>
      </c>
    </row>
    <row r="15" spans="3:8" s="74" customFormat="1" ht="23.25" customHeight="1" x14ac:dyDescent="0.25">
      <c r="C15" s="14" t="s">
        <v>1059</v>
      </c>
      <c r="D15" s="10">
        <f>'Копанищенское с.п.'!H10</f>
        <v>21.465999999999998</v>
      </c>
      <c r="E15" s="10">
        <f>'Копанищенское с.п.'!I10</f>
        <v>8.782</v>
      </c>
      <c r="F15" s="10">
        <f>'Копанищенское с.п.'!J10</f>
        <v>42.253</v>
      </c>
      <c r="G15" s="64">
        <f>SUM(F15,D15)</f>
        <v>63.718999999999994</v>
      </c>
    </row>
    <row r="16" spans="3:8" s="74" customFormat="1" ht="23.25" customHeight="1" x14ac:dyDescent="0.25">
      <c r="C16" s="14" t="s">
        <v>1060</v>
      </c>
      <c r="D16" s="10">
        <f>'Краснознаменское с.п.'!H10</f>
        <v>18.547999999999998</v>
      </c>
      <c r="E16" s="10">
        <f>'Краснознаменское с.п.'!I10</f>
        <v>10.585000000000001</v>
      </c>
      <c r="F16" s="10">
        <f>'Краснознаменское с.п.'!J10</f>
        <v>84.43</v>
      </c>
      <c r="G16" s="64">
        <f t="shared" si="2"/>
        <v>102.97800000000001</v>
      </c>
    </row>
    <row r="17" spans="3:7" s="74" customFormat="1" ht="23.25" customHeight="1" x14ac:dyDescent="0.25">
      <c r="C17" s="14" t="s">
        <v>1061</v>
      </c>
      <c r="D17" s="10">
        <f>'Нижнеикорецкое с.п.'!H10</f>
        <v>35.049999999999997</v>
      </c>
      <c r="E17" s="10">
        <f>'Нижнеикорецкое с.п.'!I10</f>
        <v>13.321999999999999</v>
      </c>
      <c r="F17" s="10">
        <f>'Нижнеикорецкое с.п.'!J10</f>
        <v>49.45</v>
      </c>
      <c r="G17" s="64">
        <f t="shared" si="2"/>
        <v>84.5</v>
      </c>
    </row>
    <row r="18" spans="3:7" s="74" customFormat="1" ht="23.25" customHeight="1" x14ac:dyDescent="0.25">
      <c r="C18" s="14" t="s">
        <v>1062</v>
      </c>
      <c r="D18" s="10">
        <f>'Петровское с.п.'!H10</f>
        <v>19.397999999999996</v>
      </c>
      <c r="E18" s="10">
        <f>'Петровское с.п.'!I10</f>
        <v>7.8970000000000002</v>
      </c>
      <c r="F18" s="10">
        <f>'Петровское с.п.'!J10</f>
        <v>20.144000000000002</v>
      </c>
      <c r="G18" s="64">
        <f t="shared" si="2"/>
        <v>39.542000000000002</v>
      </c>
    </row>
    <row r="19" spans="3:7" s="74" customFormat="1" ht="23.25" customHeight="1" x14ac:dyDescent="0.25">
      <c r="C19" s="14" t="s">
        <v>1063</v>
      </c>
      <c r="D19" s="10">
        <f>'Петропавловское с.п.'!H10</f>
        <v>40.270000000000003</v>
      </c>
      <c r="E19" s="10">
        <f>'Петропавловское с.п.'!I10</f>
        <v>11.877999999999998</v>
      </c>
      <c r="F19" s="10">
        <f>'Петропавловское с.п.'!J10</f>
        <v>46.938000000000002</v>
      </c>
      <c r="G19" s="64">
        <f t="shared" si="2"/>
        <v>87.207999999999998</v>
      </c>
    </row>
    <row r="20" spans="3:7" s="74" customFormat="1" ht="23.25" customHeight="1" x14ac:dyDescent="0.25">
      <c r="C20" s="14" t="s">
        <v>1064</v>
      </c>
      <c r="D20" s="10">
        <f>'Почепское с.п.'!H10</f>
        <v>25.076999999999998</v>
      </c>
      <c r="E20" s="10">
        <f>'Почепское с.п.'!I10</f>
        <v>20.637999999999998</v>
      </c>
      <c r="F20" s="10">
        <f>'Почепское с.п.'!J10</f>
        <v>58.492999999999995</v>
      </c>
      <c r="G20" s="64">
        <f t="shared" si="2"/>
        <v>83.57</v>
      </c>
    </row>
    <row r="21" spans="3:7" s="74" customFormat="1" ht="23.25" customHeight="1" x14ac:dyDescent="0.25">
      <c r="C21" s="14" t="s">
        <v>1065</v>
      </c>
      <c r="D21" s="10">
        <f>'Селявинское с.п.'!H10</f>
        <v>27.257000000000001</v>
      </c>
      <c r="E21" s="10">
        <f>'Селявинское с.п.'!I10</f>
        <v>10.576000000000002</v>
      </c>
      <c r="F21" s="10">
        <f>'Селявинское с.п.'!J10</f>
        <v>29.605</v>
      </c>
      <c r="G21" s="64">
        <f t="shared" si="2"/>
        <v>56.862000000000002</v>
      </c>
    </row>
    <row r="22" spans="3:7" s="74" customFormat="1" ht="23.25" customHeight="1" x14ac:dyDescent="0.25">
      <c r="C22" s="14" t="s">
        <v>1066</v>
      </c>
      <c r="D22" s="10">
        <f>'Среднеикорецкое с.п.'!H10</f>
        <v>55.783999999999999</v>
      </c>
      <c r="E22" s="10">
        <f>'Среднеикорецкое с.п.'!I10</f>
        <v>29.246000000000006</v>
      </c>
      <c r="F22" s="10">
        <f>'Среднеикорецкое с.п.'!J10</f>
        <v>45.965000000000003</v>
      </c>
      <c r="G22" s="64">
        <f t="shared" si="2"/>
        <v>101.749</v>
      </c>
    </row>
    <row r="23" spans="3:7" s="74" customFormat="1" ht="23.25" customHeight="1" x14ac:dyDescent="0.25">
      <c r="C23" s="14" t="s">
        <v>1067</v>
      </c>
      <c r="D23" s="10">
        <f>'Старохворостанское с.п.'!H10</f>
        <v>40.231000000000023</v>
      </c>
      <c r="E23" s="10">
        <f>'Старохворостанское с.п.'!I10</f>
        <v>7.2040000000000006</v>
      </c>
      <c r="F23" s="10">
        <f>'Старохворостанское с.п.'!J10</f>
        <v>98.511000000000024</v>
      </c>
      <c r="G23" s="64">
        <f t="shared" si="2"/>
        <v>138.74200000000005</v>
      </c>
    </row>
    <row r="24" spans="3:7" s="74" customFormat="1" ht="23.25" customHeight="1" x14ac:dyDescent="0.25">
      <c r="C24" s="14" t="s">
        <v>1068</v>
      </c>
      <c r="D24" s="10">
        <f>'Степнянское с.п.'!H10</f>
        <v>16.583000000000002</v>
      </c>
      <c r="E24" s="10">
        <f>'Степнянское с.п.'!I10</f>
        <v>6.0120000000000005</v>
      </c>
      <c r="F24" s="10">
        <f>'Степнянское с.п.'!J10</f>
        <v>33.498000000000005</v>
      </c>
      <c r="G24" s="64">
        <f t="shared" si="2"/>
        <v>50.081000000000003</v>
      </c>
    </row>
    <row r="25" spans="3:7" s="74" customFormat="1" ht="23.25" customHeight="1" x14ac:dyDescent="0.25">
      <c r="C25" s="14" t="s">
        <v>1072</v>
      </c>
      <c r="D25" s="10">
        <f>'Сторожевское с.п.'!H10</f>
        <v>11.265000000000001</v>
      </c>
      <c r="E25" s="10">
        <f>'Сторожевское с.п.'!I10</f>
        <v>3.7289999999999996</v>
      </c>
      <c r="F25" s="10">
        <f>'Сторожевское с.п.'!J10</f>
        <v>32.033000000000001</v>
      </c>
      <c r="G25" s="64">
        <f t="shared" si="2"/>
        <v>43.298000000000002</v>
      </c>
    </row>
    <row r="26" spans="3:7" s="74" customFormat="1" ht="23.25" customHeight="1" x14ac:dyDescent="0.25">
      <c r="C26" s="14" t="s">
        <v>1069</v>
      </c>
      <c r="D26" s="10">
        <f>'Тресоруковское с.п.'!H10</f>
        <v>44.222000000000001</v>
      </c>
      <c r="E26" s="10">
        <f>'Тресоруковское с.п.'!I10</f>
        <v>28.555999999999987</v>
      </c>
      <c r="F26" s="10">
        <f>'Тресоруковское с.п.'!J10</f>
        <v>83.524000000000001</v>
      </c>
      <c r="G26" s="64">
        <f t="shared" si="2"/>
        <v>127.74600000000001</v>
      </c>
    </row>
    <row r="27" spans="3:7" s="74" customFormat="1" ht="23.25" customHeight="1" x14ac:dyDescent="0.25">
      <c r="C27" s="14" t="s">
        <v>1070</v>
      </c>
      <c r="D27" s="10">
        <f>'Троицкое с.п.'!H10</f>
        <v>24.263000000000002</v>
      </c>
      <c r="E27" s="10">
        <f>'Троицкое с.п.'!I10</f>
        <v>7.7440000000000007</v>
      </c>
      <c r="F27" s="10">
        <f>'Троицкое с.п.'!J10</f>
        <v>48.856000000000002</v>
      </c>
      <c r="G27" s="64">
        <f t="shared" si="2"/>
        <v>73.119</v>
      </c>
    </row>
    <row r="28" spans="3:7" s="74" customFormat="1" ht="23.25" customHeight="1" x14ac:dyDescent="0.25">
      <c r="C28" s="14" t="s">
        <v>1071</v>
      </c>
      <c r="D28" s="10">
        <f>'Щучинское с.п.'!H10</f>
        <v>25.307000000000002</v>
      </c>
      <c r="E28" s="10">
        <f>'Щучинское с.п.'!I10</f>
        <v>15.71</v>
      </c>
      <c r="F28" s="10">
        <f>'Щучинское с.п.'!J10</f>
        <v>51.155000000000001</v>
      </c>
      <c r="G28" s="64">
        <f t="shared" si="2"/>
        <v>76.462000000000003</v>
      </c>
    </row>
    <row r="29" spans="3:7" s="74" customFormat="1" ht="30" customHeight="1" x14ac:dyDescent="0.25">
      <c r="C29" s="68" t="s">
        <v>1075</v>
      </c>
      <c r="D29" s="69">
        <f>SUM(D30:D31)</f>
        <v>238.05800000000002</v>
      </c>
      <c r="E29" s="69">
        <f t="shared" ref="E29:G29" si="3">SUM(E30:E31)</f>
        <v>214.60900000000001</v>
      </c>
      <c r="F29" s="69">
        <f t="shared" si="3"/>
        <v>226.661</v>
      </c>
      <c r="G29" s="69">
        <f t="shared" si="3"/>
        <v>464.71900000000005</v>
      </c>
    </row>
    <row r="30" spans="3:7" s="74" customFormat="1" ht="23.25" customHeight="1" x14ac:dyDescent="0.25">
      <c r="C30" s="14" t="s">
        <v>1076</v>
      </c>
      <c r="D30" s="10">
        <f>'Давыдовское г.п.'!H10</f>
        <v>36.365000000000009</v>
      </c>
      <c r="E30" s="10">
        <f>'Давыдовское г.п.'!I10</f>
        <v>29.531000000000006</v>
      </c>
      <c r="F30" s="10">
        <f>'Давыдовское г.п.'!J10</f>
        <v>70.759999999999991</v>
      </c>
      <c r="G30" s="64">
        <f t="shared" si="2"/>
        <v>107.125</v>
      </c>
    </row>
    <row r="31" spans="3:7" s="74" customFormat="1" ht="23.25" customHeight="1" x14ac:dyDescent="0.25">
      <c r="C31" s="14" t="s">
        <v>1077</v>
      </c>
      <c r="D31" s="10">
        <v>201.69300000000001</v>
      </c>
      <c r="E31" s="10">
        <v>185.078</v>
      </c>
      <c r="F31" s="10">
        <v>155.90100000000001</v>
      </c>
      <c r="G31" s="64">
        <f t="shared" si="2"/>
        <v>357.59400000000005</v>
      </c>
    </row>
    <row r="32" spans="3:7" s="74" customFormat="1" ht="23.25" customHeight="1" x14ac:dyDescent="0.25">
      <c r="C32" s="14"/>
      <c r="D32" s="10"/>
      <c r="E32" s="10"/>
      <c r="F32" s="10"/>
      <c r="G32" s="64"/>
    </row>
    <row r="33" spans="3:7" s="74" customFormat="1" ht="23.25" customHeight="1" x14ac:dyDescent="0.25">
      <c r="C33" s="76"/>
      <c r="D33" s="78"/>
      <c r="E33" s="78"/>
      <c r="F33" s="78"/>
      <c r="G33" s="94"/>
    </row>
    <row r="34" spans="3:7" s="74" customFormat="1" ht="23.25" customHeight="1" x14ac:dyDescent="0.25">
      <c r="C34" s="76"/>
      <c r="D34" s="78"/>
      <c r="E34" s="78"/>
      <c r="F34" s="78"/>
      <c r="G34" s="94"/>
    </row>
    <row r="35" spans="3:7" s="74" customFormat="1" ht="23.25" customHeight="1" x14ac:dyDescent="0.25">
      <c r="C35" s="76"/>
      <c r="D35" s="78"/>
      <c r="E35" s="78"/>
      <c r="F35" s="78"/>
      <c r="G35" s="94"/>
    </row>
    <row r="36" spans="3:7" s="74" customFormat="1" ht="23.25" customHeight="1" x14ac:dyDescent="0.25">
      <c r="C36" s="76"/>
      <c r="D36" s="78"/>
      <c r="E36" s="78"/>
      <c r="F36" s="78"/>
      <c r="G36" s="94"/>
    </row>
    <row r="37" spans="3:7" s="74" customFormat="1" ht="23.25" customHeight="1" x14ac:dyDescent="0.25">
      <c r="C37" s="76"/>
      <c r="D37" s="78"/>
      <c r="E37" s="78"/>
      <c r="F37" s="177" t="s">
        <v>3337</v>
      </c>
      <c r="G37" s="177"/>
    </row>
    <row r="38" spans="3:7" s="74" customFormat="1" ht="23.25" customHeight="1" x14ac:dyDescent="0.25">
      <c r="C38" s="76"/>
      <c r="D38" s="78"/>
      <c r="E38" s="78"/>
      <c r="F38" s="177"/>
      <c r="G38" s="177"/>
    </row>
    <row r="39" spans="3:7" s="74" customFormat="1" ht="23.25" customHeight="1" x14ac:dyDescent="0.25">
      <c r="C39" s="76"/>
      <c r="D39" s="78"/>
      <c r="E39" s="78"/>
      <c r="F39" s="177"/>
      <c r="G39" s="177"/>
    </row>
    <row r="40" spans="3:7" s="74" customFormat="1" ht="23.25" customHeight="1" x14ac:dyDescent="0.25">
      <c r="C40" s="76"/>
      <c r="D40" s="78"/>
      <c r="E40" s="78"/>
      <c r="F40" s="165"/>
      <c r="G40" s="166"/>
    </row>
    <row r="41" spans="3:7" s="74" customFormat="1" ht="23.25" customHeight="1" x14ac:dyDescent="0.25">
      <c r="C41" s="76"/>
      <c r="D41" s="78"/>
      <c r="E41" s="78"/>
      <c r="F41" s="169" t="s">
        <v>3339</v>
      </c>
      <c r="G41" s="169"/>
    </row>
    <row r="42" spans="3:7" s="74" customFormat="1" ht="23.25" customHeight="1" x14ac:dyDescent="0.25">
      <c r="C42" s="76"/>
      <c r="D42" s="78"/>
      <c r="E42" s="78"/>
      <c r="F42" s="165"/>
      <c r="G42" s="165"/>
    </row>
    <row r="43" spans="3:7" s="74" customFormat="1" ht="23.25" customHeight="1" x14ac:dyDescent="0.25">
      <c r="C43" s="76"/>
      <c r="D43" s="78"/>
      <c r="E43" s="78"/>
      <c r="F43" s="165"/>
      <c r="G43" s="165"/>
    </row>
    <row r="44" spans="3:7" s="74" customFormat="1" ht="23.25" customHeight="1" x14ac:dyDescent="0.25">
      <c r="C44" s="76"/>
      <c r="D44" s="78"/>
      <c r="E44" s="78"/>
      <c r="F44" s="165"/>
      <c r="G44" s="165"/>
    </row>
    <row r="45" spans="3:7" s="74" customFormat="1" ht="23.25" customHeight="1" x14ac:dyDescent="0.25">
      <c r="C45" s="76"/>
      <c r="D45" s="78"/>
      <c r="E45" s="78"/>
      <c r="F45" s="165"/>
      <c r="G45" s="165"/>
    </row>
    <row r="46" spans="3:7" s="74" customFormat="1" ht="23.25" customHeight="1" x14ac:dyDescent="0.25">
      <c r="C46" s="76"/>
      <c r="D46" s="78"/>
      <c r="E46" s="78"/>
      <c r="F46" s="78"/>
      <c r="G46" s="94"/>
    </row>
    <row r="47" spans="3:7" s="74" customFormat="1" ht="23.25" customHeight="1" x14ac:dyDescent="0.25">
      <c r="C47" s="76"/>
      <c r="D47" s="78"/>
      <c r="E47" s="78"/>
      <c r="F47" s="78"/>
      <c r="G47" s="94"/>
    </row>
    <row r="48" spans="3:7" s="74" customFormat="1" ht="23.25" customHeight="1" x14ac:dyDescent="0.25">
      <c r="C48" s="76"/>
      <c r="D48" s="78"/>
      <c r="E48" s="78"/>
      <c r="F48" s="78"/>
      <c r="G48" s="94"/>
    </row>
    <row r="49" spans="3:7" s="74" customFormat="1" ht="23.25" customHeight="1" x14ac:dyDescent="0.25">
      <c r="C49" s="76"/>
      <c r="D49" s="78"/>
      <c r="E49" s="78"/>
      <c r="F49" s="78"/>
      <c r="G49" s="94"/>
    </row>
    <row r="50" spans="3:7" s="74" customFormat="1" ht="23.25" customHeight="1" x14ac:dyDescent="0.25">
      <c r="C50" s="170" t="s">
        <v>3338</v>
      </c>
      <c r="D50" s="170"/>
      <c r="E50" s="170"/>
      <c r="F50" s="170"/>
      <c r="G50" s="170"/>
    </row>
    <row r="51" spans="3:7" s="74" customFormat="1" ht="23.25" customHeight="1" x14ac:dyDescent="0.25">
      <c r="C51" s="170"/>
      <c r="D51" s="170"/>
      <c r="E51" s="170"/>
      <c r="F51" s="170"/>
      <c r="G51" s="170"/>
    </row>
    <row r="52" spans="3:7" s="74" customFormat="1" ht="23.25" customHeight="1" x14ac:dyDescent="0.25">
      <c r="C52" s="170"/>
      <c r="D52" s="170"/>
      <c r="E52" s="170"/>
      <c r="F52" s="170"/>
      <c r="G52" s="170"/>
    </row>
    <row r="53" spans="3:7" s="74" customFormat="1" ht="23.25" customHeight="1" x14ac:dyDescent="0.25">
      <c r="C53" s="170"/>
      <c r="D53" s="170"/>
      <c r="E53" s="170"/>
      <c r="F53" s="170"/>
      <c r="G53" s="170"/>
    </row>
    <row r="54" spans="3:7" s="74" customFormat="1" ht="23.25" customHeight="1" x14ac:dyDescent="0.25">
      <c r="C54" s="170"/>
      <c r="D54" s="170"/>
      <c r="E54" s="170"/>
      <c r="F54" s="170"/>
      <c r="G54" s="170"/>
    </row>
    <row r="55" spans="3:7" s="74" customFormat="1" ht="23.25" customHeight="1" x14ac:dyDescent="0.25">
      <c r="C55" s="170"/>
      <c r="D55" s="170"/>
      <c r="E55" s="170"/>
      <c r="F55" s="170"/>
      <c r="G55" s="170"/>
    </row>
    <row r="56" spans="3:7" s="74" customFormat="1" ht="23.25" customHeight="1" x14ac:dyDescent="0.25">
      <c r="C56" s="170"/>
      <c r="D56" s="170"/>
      <c r="E56" s="170"/>
      <c r="F56" s="170"/>
      <c r="G56" s="170"/>
    </row>
    <row r="57" spans="3:7" s="74" customFormat="1" ht="23.25" customHeight="1" x14ac:dyDescent="0.25">
      <c r="C57" s="170"/>
      <c r="D57" s="170"/>
      <c r="E57" s="170"/>
      <c r="F57" s="170"/>
      <c r="G57" s="170"/>
    </row>
    <row r="58" spans="3:7" s="74" customFormat="1" ht="23.25" customHeight="1" x14ac:dyDescent="0.25">
      <c r="C58" s="76"/>
      <c r="D58" s="78"/>
      <c r="E58" s="78"/>
      <c r="F58" s="78"/>
      <c r="G58" s="94"/>
    </row>
    <row r="59" spans="3:7" s="74" customFormat="1" ht="23.25" customHeight="1" x14ac:dyDescent="0.25">
      <c r="C59" s="76"/>
      <c r="D59" s="78"/>
      <c r="E59" s="78"/>
      <c r="F59" s="78"/>
      <c r="G59" s="94"/>
    </row>
    <row r="60" spans="3:7" s="74" customFormat="1" ht="23.25" customHeight="1" x14ac:dyDescent="0.25">
      <c r="C60" s="76"/>
      <c r="D60" s="78"/>
      <c r="E60" s="78"/>
      <c r="F60" s="78"/>
      <c r="G60" s="94"/>
    </row>
    <row r="61" spans="3:7" s="74" customFormat="1" ht="23.25" customHeight="1" x14ac:dyDescent="0.25">
      <c r="C61" s="76"/>
      <c r="D61" s="78"/>
      <c r="E61" s="78"/>
      <c r="F61" s="78"/>
      <c r="G61" s="94"/>
    </row>
    <row r="62" spans="3:7" s="74" customFormat="1" ht="23.25" customHeight="1" x14ac:dyDescent="0.25">
      <c r="C62" s="76"/>
      <c r="D62" s="78"/>
      <c r="E62" s="78"/>
      <c r="F62" s="78"/>
      <c r="G62" s="94"/>
    </row>
    <row r="63" spans="3:7" s="74" customFormat="1" ht="23.25" customHeight="1" x14ac:dyDescent="0.25">
      <c r="C63" s="76"/>
      <c r="D63" s="78"/>
      <c r="E63" s="78"/>
      <c r="F63" s="78"/>
      <c r="G63" s="94"/>
    </row>
    <row r="64" spans="3:7" s="74" customFormat="1" ht="23.25" customHeight="1" x14ac:dyDescent="0.25">
      <c r="C64" s="76"/>
      <c r="D64" s="78"/>
      <c r="E64" s="78"/>
      <c r="F64" s="78"/>
      <c r="G64" s="94"/>
    </row>
    <row r="65" spans="3:7" s="74" customFormat="1" ht="23.25" customHeight="1" x14ac:dyDescent="0.25">
      <c r="C65" s="76"/>
      <c r="D65" s="78"/>
      <c r="E65" s="78"/>
      <c r="F65" s="78"/>
      <c r="G65" s="94"/>
    </row>
    <row r="66" spans="3:7" s="74" customFormat="1" ht="23.25" customHeight="1" x14ac:dyDescent="0.25">
      <c r="C66" s="76"/>
      <c r="D66" s="78"/>
      <c r="E66" s="78"/>
      <c r="F66" s="78"/>
      <c r="G66" s="94"/>
    </row>
    <row r="67" spans="3:7" s="74" customFormat="1" ht="23.25" customHeight="1" x14ac:dyDescent="0.25">
      <c r="C67" s="76"/>
      <c r="D67" s="78"/>
      <c r="E67" s="78"/>
      <c r="F67" s="78"/>
      <c r="G67" s="94"/>
    </row>
    <row r="68" spans="3:7" s="74" customFormat="1" ht="23.25" customHeight="1" x14ac:dyDescent="0.25">
      <c r="C68" s="76"/>
      <c r="D68" s="78"/>
      <c r="E68" s="78"/>
      <c r="F68" s="78"/>
      <c r="G68" s="94"/>
    </row>
    <row r="69" spans="3:7" s="74" customFormat="1" ht="23.25" customHeight="1" x14ac:dyDescent="0.25">
      <c r="C69" s="76"/>
      <c r="D69" s="78"/>
      <c r="E69" s="78"/>
      <c r="F69" s="78"/>
      <c r="G69" s="94"/>
    </row>
    <row r="70" spans="3:7" s="74" customFormat="1" ht="23.25" customHeight="1" x14ac:dyDescent="0.25">
      <c r="C70" s="76"/>
      <c r="D70" s="78"/>
      <c r="E70" s="78"/>
      <c r="F70" s="78"/>
      <c r="G70" s="94"/>
    </row>
    <row r="71" spans="3:7" s="74" customFormat="1" ht="23.25" customHeight="1" x14ac:dyDescent="0.25">
      <c r="C71" s="76"/>
      <c r="D71" s="78"/>
      <c r="E71" s="78"/>
      <c r="F71" s="78"/>
      <c r="G71" s="94"/>
    </row>
    <row r="72" spans="3:7" s="74" customFormat="1" ht="23.25" customHeight="1" x14ac:dyDescent="0.25">
      <c r="C72" s="76"/>
      <c r="D72" s="78"/>
      <c r="E72" s="78"/>
      <c r="F72" s="78"/>
      <c r="G72" s="94"/>
    </row>
    <row r="73" spans="3:7" s="74" customFormat="1" ht="23.25" customHeight="1" x14ac:dyDescent="0.25">
      <c r="C73" s="76"/>
      <c r="D73" s="78"/>
      <c r="E73" s="78"/>
      <c r="F73" s="78"/>
      <c r="G73" s="94"/>
    </row>
    <row r="74" spans="3:7" s="74" customFormat="1" ht="23.25" customHeight="1" x14ac:dyDescent="0.25">
      <c r="C74" s="76"/>
      <c r="D74" s="78"/>
      <c r="E74" s="78"/>
      <c r="F74" s="78"/>
      <c r="G74" s="94"/>
    </row>
    <row r="75" spans="3:7" s="74" customFormat="1" ht="23.25" customHeight="1" x14ac:dyDescent="0.25">
      <c r="C75" s="76"/>
      <c r="D75" s="78"/>
      <c r="E75" s="78"/>
      <c r="F75" s="78"/>
      <c r="G75" s="94"/>
    </row>
    <row r="76" spans="3:7" s="74" customFormat="1" ht="23.25" customHeight="1" x14ac:dyDescent="0.25">
      <c r="C76" s="76"/>
      <c r="D76" s="78"/>
      <c r="E76" s="78"/>
      <c r="F76" s="78"/>
      <c r="G76" s="94"/>
    </row>
    <row r="77" spans="3:7" s="74" customFormat="1" ht="23.25" customHeight="1" x14ac:dyDescent="0.25">
      <c r="C77" s="76"/>
      <c r="D77" s="78"/>
      <c r="E77" s="78"/>
      <c r="F77" s="78"/>
      <c r="G77" s="94"/>
    </row>
    <row r="78" spans="3:7" s="74" customFormat="1" ht="23.25" customHeight="1" x14ac:dyDescent="0.25">
      <c r="C78" s="76"/>
      <c r="D78" s="78"/>
      <c r="E78" s="78"/>
      <c r="F78" s="78"/>
      <c r="G78" s="94"/>
    </row>
    <row r="79" spans="3:7" s="74" customFormat="1" ht="23.25" customHeight="1" x14ac:dyDescent="0.25">
      <c r="C79" s="76"/>
      <c r="D79" s="78"/>
      <c r="E79" s="78"/>
      <c r="F79" s="78"/>
      <c r="G79" s="94"/>
    </row>
    <row r="80" spans="3:7" s="74" customFormat="1" ht="23.25" customHeight="1" x14ac:dyDescent="0.25">
      <c r="C80" s="76"/>
      <c r="D80" s="78"/>
      <c r="E80" s="78"/>
      <c r="F80" s="78"/>
      <c r="G80" s="94"/>
    </row>
    <row r="81" spans="3:7" s="74" customFormat="1" ht="23.25" customHeight="1" x14ac:dyDescent="0.25">
      <c r="C81" s="76"/>
      <c r="D81" s="78"/>
      <c r="E81" s="78"/>
      <c r="F81" s="78"/>
      <c r="G81" s="94"/>
    </row>
    <row r="82" spans="3:7" s="74" customFormat="1" ht="23.25" customHeight="1" x14ac:dyDescent="0.25">
      <c r="C82" s="76"/>
      <c r="D82" s="78"/>
      <c r="E82" s="78"/>
      <c r="F82" s="78"/>
      <c r="G82" s="94"/>
    </row>
    <row r="83" spans="3:7" s="74" customFormat="1" ht="23.25" customHeight="1" x14ac:dyDescent="0.25">
      <c r="C83" s="76"/>
      <c r="D83" s="78"/>
      <c r="E83" s="78"/>
      <c r="F83" s="78"/>
      <c r="G83" s="94"/>
    </row>
    <row r="84" spans="3:7" s="74" customFormat="1" ht="23.25" customHeight="1" x14ac:dyDescent="0.25">
      <c r="C84" s="76"/>
      <c r="D84" s="78"/>
      <c r="E84" s="78"/>
      <c r="F84" s="78"/>
      <c r="G84" s="94"/>
    </row>
    <row r="85" spans="3:7" s="74" customFormat="1" ht="23.25" customHeight="1" x14ac:dyDescent="0.25">
      <c r="C85" s="76"/>
      <c r="D85" s="78"/>
      <c r="E85" s="78"/>
      <c r="F85" s="78"/>
      <c r="G85" s="94"/>
    </row>
    <row r="86" spans="3:7" s="74" customFormat="1" ht="23.25" customHeight="1" x14ac:dyDescent="0.25">
      <c r="C86" s="76"/>
      <c r="D86" s="78"/>
      <c r="E86" s="78"/>
      <c r="F86" s="78"/>
      <c r="G86" s="94"/>
    </row>
    <row r="87" spans="3:7" s="74" customFormat="1" ht="23.25" customHeight="1" x14ac:dyDescent="0.25">
      <c r="C87" s="76"/>
      <c r="D87" s="78"/>
      <c r="E87" s="78"/>
      <c r="F87" s="78"/>
      <c r="G87" s="94"/>
    </row>
    <row r="88" spans="3:7" s="74" customFormat="1" ht="23.25" customHeight="1" x14ac:dyDescent="0.25">
      <c r="C88" s="76"/>
      <c r="D88" s="78"/>
      <c r="E88" s="78"/>
      <c r="F88" s="78"/>
      <c r="G88" s="94"/>
    </row>
    <row r="89" spans="3:7" s="74" customFormat="1" ht="23.25" customHeight="1" x14ac:dyDescent="0.25">
      <c r="C89" s="76"/>
      <c r="D89" s="78"/>
      <c r="E89" s="78"/>
      <c r="F89" s="78"/>
      <c r="G89" s="94"/>
    </row>
    <row r="90" spans="3:7" s="74" customFormat="1" ht="23.25" customHeight="1" x14ac:dyDescent="0.25">
      <c r="C90" s="76"/>
      <c r="D90" s="78"/>
      <c r="E90" s="78"/>
      <c r="F90" s="78"/>
      <c r="G90" s="94"/>
    </row>
    <row r="91" spans="3:7" s="74" customFormat="1" ht="23.25" customHeight="1" x14ac:dyDescent="0.25">
      <c r="C91" s="76"/>
      <c r="D91" s="78"/>
      <c r="E91" s="78"/>
      <c r="F91" s="78"/>
      <c r="G91" s="94"/>
    </row>
    <row r="92" spans="3:7" s="74" customFormat="1" ht="23.25" customHeight="1" x14ac:dyDescent="0.25">
      <c r="C92" s="76"/>
      <c r="D92" s="78"/>
      <c r="E92" s="78"/>
      <c r="F92" s="78"/>
      <c r="G92" s="94"/>
    </row>
    <row r="93" spans="3:7" s="74" customFormat="1" ht="23.25" customHeight="1" x14ac:dyDescent="0.25">
      <c r="C93" s="76"/>
      <c r="D93" s="78"/>
      <c r="E93" s="78"/>
      <c r="F93" s="78"/>
      <c r="G93" s="94"/>
    </row>
    <row r="94" spans="3:7" s="74" customFormat="1" ht="23.25" customHeight="1" x14ac:dyDescent="0.25">
      <c r="C94" s="76"/>
      <c r="D94" s="78"/>
      <c r="E94" s="78"/>
      <c r="F94" s="78"/>
      <c r="G94" s="94"/>
    </row>
    <row r="95" spans="3:7" s="74" customFormat="1" ht="23.25" customHeight="1" x14ac:dyDescent="0.25">
      <c r="C95" s="76"/>
      <c r="D95" s="78"/>
      <c r="E95" s="78"/>
      <c r="F95" s="78"/>
      <c r="G95" s="94"/>
    </row>
    <row r="96" spans="3:7" s="74" customFormat="1" ht="23.25" customHeight="1" x14ac:dyDescent="0.25">
      <c r="C96" s="76"/>
      <c r="D96" s="78"/>
      <c r="E96" s="78"/>
      <c r="F96" s="78"/>
      <c r="G96" s="94"/>
    </row>
    <row r="97" spans="3:7" s="74" customFormat="1" ht="23.25" customHeight="1" x14ac:dyDescent="0.25">
      <c r="C97" s="76"/>
      <c r="D97" s="78"/>
      <c r="E97" s="78"/>
      <c r="F97" s="78"/>
      <c r="G97" s="94"/>
    </row>
    <row r="98" spans="3:7" s="74" customFormat="1" ht="23.25" customHeight="1" x14ac:dyDescent="0.25">
      <c r="C98" s="76"/>
      <c r="D98" s="78"/>
      <c r="E98" s="78"/>
      <c r="F98" s="78"/>
      <c r="G98" s="94"/>
    </row>
    <row r="99" spans="3:7" s="74" customFormat="1" ht="23.25" customHeight="1" x14ac:dyDescent="0.25">
      <c r="C99" s="76"/>
      <c r="D99" s="78"/>
      <c r="E99" s="78"/>
      <c r="F99" s="78"/>
      <c r="G99" s="94"/>
    </row>
    <row r="100" spans="3:7" s="74" customFormat="1" ht="23.25" customHeight="1" x14ac:dyDescent="0.25">
      <c r="C100" s="76"/>
      <c r="D100" s="78"/>
      <c r="E100" s="78"/>
      <c r="F100" s="78"/>
      <c r="G100" s="94"/>
    </row>
    <row r="101" spans="3:7" s="74" customFormat="1" ht="23.25" customHeight="1" x14ac:dyDescent="0.25">
      <c r="C101" s="76"/>
      <c r="D101" s="78"/>
      <c r="E101" s="78"/>
      <c r="F101" s="78"/>
      <c r="G101" s="94"/>
    </row>
    <row r="102" spans="3:7" s="74" customFormat="1" ht="34.5" customHeight="1" x14ac:dyDescent="0.25">
      <c r="C102" s="76"/>
      <c r="D102" s="78"/>
      <c r="E102" s="78"/>
      <c r="F102" s="78"/>
      <c r="G102" s="94"/>
    </row>
    <row r="103" spans="3:7" s="74" customFormat="1" x14ac:dyDescent="0.25">
      <c r="C103" s="76"/>
      <c r="D103" s="78"/>
      <c r="E103" s="78"/>
      <c r="F103" s="78"/>
      <c r="G103" s="94"/>
    </row>
    <row r="104" spans="3:7" s="74" customFormat="1" x14ac:dyDescent="0.25">
      <c r="C104" s="76"/>
      <c r="D104" s="78"/>
      <c r="E104" s="78"/>
      <c r="F104" s="78"/>
      <c r="G104" s="94"/>
    </row>
    <row r="105" spans="3:7" s="74" customFormat="1" x14ac:dyDescent="0.25">
      <c r="C105" s="76"/>
      <c r="D105" s="78"/>
      <c r="E105" s="78"/>
      <c r="F105" s="78"/>
      <c r="G105" s="94"/>
    </row>
    <row r="106" spans="3:7" s="74" customFormat="1" ht="23.25" customHeight="1" x14ac:dyDescent="0.25">
      <c r="C106" s="76"/>
      <c r="D106" s="78"/>
      <c r="E106" s="78"/>
      <c r="F106" s="78"/>
      <c r="G106" s="94"/>
    </row>
    <row r="107" spans="3:7" s="74" customFormat="1" ht="23.25" customHeight="1" x14ac:dyDescent="0.25">
      <c r="C107" s="76"/>
      <c r="D107" s="78"/>
      <c r="E107" s="78"/>
      <c r="F107" s="78"/>
      <c r="G107" s="94"/>
    </row>
    <row r="108" spans="3:7" s="74" customFormat="1" ht="23.25" customHeight="1" x14ac:dyDescent="0.25">
      <c r="C108" s="76"/>
      <c r="D108" s="78"/>
      <c r="E108" s="78"/>
      <c r="F108" s="78"/>
      <c r="G108" s="94"/>
    </row>
    <row r="109" spans="3:7" s="74" customFormat="1" ht="23.25" customHeight="1" x14ac:dyDescent="0.25">
      <c r="C109" s="76"/>
      <c r="D109" s="78"/>
      <c r="E109" s="78"/>
      <c r="F109" s="78"/>
      <c r="G109" s="94"/>
    </row>
    <row r="110" spans="3:7" s="74" customFormat="1" ht="23.25" customHeight="1" x14ac:dyDescent="0.25">
      <c r="C110" s="76"/>
      <c r="D110" s="78"/>
      <c r="E110" s="78"/>
      <c r="F110" s="78"/>
      <c r="G110" s="94"/>
    </row>
    <row r="111" spans="3:7" s="74" customFormat="1" ht="23.25" customHeight="1" x14ac:dyDescent="0.25">
      <c r="C111" s="76"/>
      <c r="D111" s="78"/>
      <c r="E111" s="78"/>
      <c r="F111" s="78"/>
      <c r="G111" s="94"/>
    </row>
    <row r="112" spans="3:7" s="74" customFormat="1" ht="23.25" customHeight="1" x14ac:dyDescent="0.25">
      <c r="C112" s="76"/>
      <c r="D112" s="78"/>
      <c r="E112" s="78"/>
      <c r="F112" s="78"/>
      <c r="G112" s="94"/>
    </row>
    <row r="113" spans="3:7" s="74" customFormat="1" ht="23.25" customHeight="1" x14ac:dyDescent="0.25">
      <c r="C113" s="76"/>
      <c r="D113" s="78"/>
      <c r="E113" s="78"/>
      <c r="F113" s="78"/>
      <c r="G113" s="94"/>
    </row>
    <row r="114" spans="3:7" s="74" customFormat="1" ht="23.25" customHeight="1" x14ac:dyDescent="0.25">
      <c r="C114" s="76"/>
      <c r="D114" s="78"/>
      <c r="E114" s="78"/>
      <c r="F114" s="78"/>
      <c r="G114" s="94"/>
    </row>
    <row r="115" spans="3:7" s="74" customFormat="1" ht="23.25" customHeight="1" x14ac:dyDescent="0.25">
      <c r="C115" s="76"/>
      <c r="D115" s="78"/>
      <c r="E115" s="78"/>
      <c r="F115" s="78"/>
      <c r="G115" s="94"/>
    </row>
    <row r="116" spans="3:7" s="74" customFormat="1" ht="23.25" customHeight="1" x14ac:dyDescent="0.25">
      <c r="C116" s="76"/>
      <c r="D116" s="78"/>
      <c r="E116" s="78"/>
      <c r="F116" s="78"/>
      <c r="G116" s="94"/>
    </row>
    <row r="117" spans="3:7" s="74" customFormat="1" ht="23.25" customHeight="1" x14ac:dyDescent="0.25">
      <c r="C117" s="76"/>
      <c r="D117" s="78"/>
      <c r="E117" s="78"/>
      <c r="F117" s="78"/>
      <c r="G117" s="94"/>
    </row>
    <row r="118" spans="3:7" s="74" customFormat="1" ht="23.25" customHeight="1" x14ac:dyDescent="0.25">
      <c r="C118" s="76"/>
      <c r="D118" s="78"/>
      <c r="E118" s="78"/>
      <c r="F118" s="78"/>
      <c r="G118" s="94"/>
    </row>
    <row r="119" spans="3:7" s="74" customFormat="1" ht="23.25" customHeight="1" x14ac:dyDescent="0.25">
      <c r="C119" s="76"/>
      <c r="D119" s="78"/>
      <c r="E119" s="78"/>
      <c r="F119" s="78"/>
      <c r="G119" s="94"/>
    </row>
    <row r="120" spans="3:7" s="74" customFormat="1" ht="23.25" customHeight="1" x14ac:dyDescent="0.25">
      <c r="C120" s="76"/>
      <c r="D120" s="78"/>
      <c r="E120" s="78"/>
      <c r="F120" s="78"/>
      <c r="G120" s="94"/>
    </row>
    <row r="121" spans="3:7" ht="23.25" customHeight="1" x14ac:dyDescent="0.25">
      <c r="C121" s="76"/>
      <c r="D121" s="78"/>
      <c r="E121" s="78"/>
      <c r="F121" s="78"/>
      <c r="G121" s="94"/>
    </row>
    <row r="122" spans="3:7" ht="23.25" customHeight="1" x14ac:dyDescent="0.25">
      <c r="C122" s="76"/>
      <c r="D122" s="78"/>
      <c r="E122" s="78"/>
      <c r="F122" s="78"/>
      <c r="G122" s="94"/>
    </row>
    <row r="123" spans="3:7" ht="23.25" customHeight="1" x14ac:dyDescent="0.25">
      <c r="C123" s="76"/>
      <c r="D123" s="78"/>
      <c r="E123" s="78"/>
      <c r="F123" s="78"/>
      <c r="G123" s="94"/>
    </row>
    <row r="124" spans="3:7" ht="23.25" customHeight="1" x14ac:dyDescent="0.25">
      <c r="C124" s="76"/>
      <c r="D124" s="78"/>
      <c r="E124" s="78"/>
      <c r="F124" s="78"/>
      <c r="G124" s="94"/>
    </row>
    <row r="125" spans="3:7" ht="23.25" customHeight="1" x14ac:dyDescent="0.25">
      <c r="C125" s="76"/>
      <c r="D125" s="78"/>
      <c r="E125" s="78"/>
      <c r="F125" s="78"/>
      <c r="G125" s="94"/>
    </row>
    <row r="126" spans="3:7" ht="23.25" customHeight="1" x14ac:dyDescent="0.25">
      <c r="C126" s="76"/>
      <c r="D126" s="78"/>
      <c r="E126" s="78"/>
      <c r="F126" s="78"/>
      <c r="G126" s="94"/>
    </row>
    <row r="127" spans="3:7" ht="23.25" customHeight="1" x14ac:dyDescent="0.25">
      <c r="C127" s="76"/>
      <c r="D127" s="78"/>
      <c r="E127" s="78"/>
      <c r="F127" s="78"/>
      <c r="G127" s="94"/>
    </row>
    <row r="128" spans="3:7" ht="23.25" customHeight="1" x14ac:dyDescent="0.25">
      <c r="C128" s="76"/>
      <c r="D128" s="78"/>
      <c r="E128" s="78"/>
      <c r="F128" s="78"/>
      <c r="G128" s="94"/>
    </row>
    <row r="129" spans="3:7" ht="23.25" customHeight="1" x14ac:dyDescent="0.25">
      <c r="C129" s="76"/>
      <c r="D129" s="78"/>
      <c r="E129" s="78"/>
      <c r="F129" s="78"/>
      <c r="G129" s="94"/>
    </row>
    <row r="130" spans="3:7" ht="23.25" customHeight="1" x14ac:dyDescent="0.25">
      <c r="C130" s="76"/>
      <c r="D130" s="78"/>
      <c r="E130" s="78"/>
      <c r="F130" s="78"/>
      <c r="G130" s="94"/>
    </row>
    <row r="131" spans="3:7" ht="23.25" customHeight="1" x14ac:dyDescent="0.25">
      <c r="C131" s="76"/>
      <c r="D131" s="78"/>
      <c r="E131" s="78"/>
      <c r="F131" s="78"/>
      <c r="G131" s="94"/>
    </row>
    <row r="132" spans="3:7" ht="23.25" customHeight="1" x14ac:dyDescent="0.25">
      <c r="C132" s="76"/>
      <c r="D132" s="78"/>
      <c r="E132" s="78"/>
      <c r="F132" s="78"/>
      <c r="G132" s="94"/>
    </row>
    <row r="133" spans="3:7" ht="23.25" customHeight="1" x14ac:dyDescent="0.25">
      <c r="C133" s="76"/>
      <c r="D133" s="78"/>
      <c r="E133" s="78"/>
      <c r="F133" s="78"/>
      <c r="G133" s="94"/>
    </row>
    <row r="134" spans="3:7" ht="23.25" customHeight="1" x14ac:dyDescent="0.25">
      <c r="C134" s="76"/>
      <c r="D134" s="78"/>
      <c r="E134" s="78"/>
      <c r="F134" s="78"/>
      <c r="G134" s="94"/>
    </row>
    <row r="135" spans="3:7" ht="23.25" customHeight="1" x14ac:dyDescent="0.25">
      <c r="C135" s="76"/>
      <c r="D135" s="78"/>
      <c r="E135" s="78"/>
      <c r="F135" s="78"/>
      <c r="G135" s="94"/>
    </row>
    <row r="136" spans="3:7" ht="23.25" customHeight="1" x14ac:dyDescent="0.25">
      <c r="C136" s="76"/>
      <c r="D136" s="78"/>
      <c r="E136" s="78"/>
      <c r="F136" s="78"/>
      <c r="G136" s="94"/>
    </row>
    <row r="137" spans="3:7" ht="23.25" customHeight="1" x14ac:dyDescent="0.25">
      <c r="C137" s="76"/>
      <c r="D137" s="78"/>
      <c r="E137" s="78"/>
      <c r="F137" s="78"/>
      <c r="G137" s="94"/>
    </row>
    <row r="138" spans="3:7" ht="23.25" customHeight="1" x14ac:dyDescent="0.25">
      <c r="C138" s="76"/>
      <c r="D138" s="78"/>
      <c r="E138" s="78"/>
      <c r="F138" s="78"/>
      <c r="G138" s="94"/>
    </row>
    <row r="139" spans="3:7" ht="23.25" customHeight="1" x14ac:dyDescent="0.25">
      <c r="C139" s="76"/>
      <c r="D139" s="78"/>
      <c r="E139" s="78"/>
      <c r="F139" s="78"/>
      <c r="G139" s="94"/>
    </row>
    <row r="140" spans="3:7" ht="23.25" customHeight="1" x14ac:dyDescent="0.25">
      <c r="C140" s="76"/>
      <c r="D140" s="78"/>
      <c r="E140" s="78"/>
      <c r="F140" s="78"/>
      <c r="G140" s="94"/>
    </row>
    <row r="141" spans="3:7" ht="23.25" customHeight="1" x14ac:dyDescent="0.25">
      <c r="C141" s="76"/>
      <c r="D141" s="78"/>
      <c r="E141" s="78"/>
      <c r="F141" s="78"/>
      <c r="G141" s="94"/>
    </row>
    <row r="142" spans="3:7" ht="23.25" customHeight="1" x14ac:dyDescent="0.25">
      <c r="C142" s="76"/>
      <c r="D142" s="78"/>
      <c r="E142" s="78"/>
      <c r="F142" s="78"/>
      <c r="G142" s="94"/>
    </row>
    <row r="143" spans="3:7" ht="23.25" customHeight="1" x14ac:dyDescent="0.25">
      <c r="C143" s="76"/>
      <c r="D143" s="78"/>
      <c r="E143" s="78"/>
      <c r="F143" s="78"/>
      <c r="G143" s="94"/>
    </row>
    <row r="144" spans="3:7" ht="23.25" customHeight="1" x14ac:dyDescent="0.25">
      <c r="C144" s="76"/>
      <c r="D144" s="78"/>
      <c r="E144" s="78"/>
      <c r="F144" s="78"/>
      <c r="G144" s="94"/>
    </row>
    <row r="145" spans="3:7" ht="23.25" customHeight="1" x14ac:dyDescent="0.25">
      <c r="C145" s="76"/>
      <c r="D145" s="78"/>
      <c r="E145" s="78"/>
      <c r="F145" s="78"/>
      <c r="G145" s="94"/>
    </row>
    <row r="146" spans="3:7" ht="23.25" customHeight="1" x14ac:dyDescent="0.25">
      <c r="C146" s="76"/>
      <c r="D146" s="78"/>
      <c r="E146" s="78"/>
      <c r="F146" s="78"/>
      <c r="G146" s="94"/>
    </row>
    <row r="147" spans="3:7" ht="23.25" customHeight="1" x14ac:dyDescent="0.25">
      <c r="C147" s="76"/>
      <c r="D147" s="78"/>
      <c r="E147" s="78"/>
      <c r="F147" s="78"/>
      <c r="G147" s="94"/>
    </row>
    <row r="148" spans="3:7" ht="23.25" customHeight="1" x14ac:dyDescent="0.25">
      <c r="C148" s="76"/>
      <c r="D148" s="78"/>
      <c r="E148" s="78"/>
      <c r="F148" s="78"/>
      <c r="G148" s="94"/>
    </row>
    <row r="149" spans="3:7" ht="23.25" customHeight="1" x14ac:dyDescent="0.25">
      <c r="C149" s="76"/>
      <c r="D149" s="78"/>
      <c r="E149" s="78"/>
      <c r="F149" s="78"/>
      <c r="G149" s="94"/>
    </row>
    <row r="150" spans="3:7" ht="23.25" customHeight="1" x14ac:dyDescent="0.25">
      <c r="C150" s="76"/>
      <c r="D150" s="78"/>
      <c r="E150" s="78"/>
      <c r="F150" s="78"/>
      <c r="G150" s="94"/>
    </row>
    <row r="151" spans="3:7" ht="23.25" customHeight="1" x14ac:dyDescent="0.25">
      <c r="C151" s="76"/>
      <c r="D151" s="78"/>
      <c r="E151" s="78"/>
      <c r="F151" s="78"/>
      <c r="G151" s="94"/>
    </row>
    <row r="152" spans="3:7" ht="23.25" customHeight="1" x14ac:dyDescent="0.25">
      <c r="C152" s="76"/>
      <c r="D152" s="78"/>
      <c r="E152" s="78"/>
      <c r="F152" s="78"/>
      <c r="G152" s="94"/>
    </row>
    <row r="153" spans="3:7" ht="23.25" customHeight="1" x14ac:dyDescent="0.25">
      <c r="C153" s="76"/>
      <c r="D153" s="78"/>
      <c r="E153" s="78"/>
      <c r="F153" s="78"/>
      <c r="G153" s="94"/>
    </row>
    <row r="154" spans="3:7" ht="23.25" customHeight="1" x14ac:dyDescent="0.25">
      <c r="C154" s="76"/>
      <c r="D154" s="78"/>
      <c r="E154" s="78"/>
      <c r="F154" s="78"/>
      <c r="G154" s="94"/>
    </row>
    <row r="155" spans="3:7" ht="23.25" customHeight="1" x14ac:dyDescent="0.25">
      <c r="C155" s="76"/>
      <c r="D155" s="78"/>
      <c r="E155" s="78"/>
      <c r="F155" s="78"/>
      <c r="G155" s="94"/>
    </row>
    <row r="156" spans="3:7" ht="23.25" customHeight="1" x14ac:dyDescent="0.25">
      <c r="C156" s="76"/>
      <c r="D156" s="78"/>
      <c r="E156" s="78"/>
      <c r="F156" s="78"/>
      <c r="G156" s="94"/>
    </row>
    <row r="157" spans="3:7" ht="23.25" customHeight="1" x14ac:dyDescent="0.25">
      <c r="C157" s="76"/>
      <c r="D157" s="78"/>
      <c r="E157" s="78"/>
      <c r="F157" s="78"/>
      <c r="G157" s="94"/>
    </row>
    <row r="158" spans="3:7" ht="23.25" customHeight="1" x14ac:dyDescent="0.25">
      <c r="C158" s="76"/>
      <c r="D158" s="78"/>
      <c r="E158" s="78"/>
      <c r="F158" s="78"/>
      <c r="G158" s="94"/>
    </row>
    <row r="159" spans="3:7" x14ac:dyDescent="0.25">
      <c r="C159" s="76"/>
      <c r="D159" s="78"/>
      <c r="E159" s="78"/>
      <c r="F159" s="78"/>
      <c r="G159" s="94"/>
    </row>
    <row r="160" spans="3:7" x14ac:dyDescent="0.25">
      <c r="C160" s="76"/>
      <c r="D160" s="78"/>
      <c r="E160" s="78"/>
      <c r="F160" s="78"/>
      <c r="G160" s="94"/>
    </row>
    <row r="161" spans="3:7" ht="23.25" customHeight="1" x14ac:dyDescent="0.25">
      <c r="C161" s="76"/>
      <c r="D161" s="78"/>
      <c r="E161" s="78"/>
      <c r="F161" s="78"/>
      <c r="G161" s="94"/>
    </row>
    <row r="162" spans="3:7" ht="23.25" customHeight="1" x14ac:dyDescent="0.25">
      <c r="C162" s="76"/>
      <c r="D162" s="78"/>
      <c r="E162" s="78"/>
      <c r="F162" s="78"/>
      <c r="G162" s="94"/>
    </row>
    <row r="163" spans="3:7" ht="23.25" customHeight="1" x14ac:dyDescent="0.25">
      <c r="C163" s="76"/>
      <c r="D163" s="78"/>
      <c r="E163" s="78"/>
      <c r="F163" s="78"/>
      <c r="G163" s="94"/>
    </row>
    <row r="164" spans="3:7" ht="23.25" customHeight="1" x14ac:dyDescent="0.25">
      <c r="C164" s="76"/>
      <c r="D164" s="78"/>
      <c r="E164" s="78"/>
      <c r="F164" s="78"/>
      <c r="G164" s="94"/>
    </row>
    <row r="165" spans="3:7" ht="23.25" customHeight="1" x14ac:dyDescent="0.25">
      <c r="C165" s="76"/>
      <c r="D165" s="78"/>
      <c r="E165" s="78"/>
      <c r="F165" s="78"/>
      <c r="G165" s="94"/>
    </row>
    <row r="166" spans="3:7" ht="23.25" customHeight="1" x14ac:dyDescent="0.25">
      <c r="C166" s="76"/>
      <c r="D166" s="78"/>
      <c r="E166" s="78"/>
      <c r="F166" s="78"/>
      <c r="G166" s="94"/>
    </row>
    <row r="167" spans="3:7" ht="23.25" customHeight="1" x14ac:dyDescent="0.25">
      <c r="C167" s="76"/>
      <c r="D167" s="78"/>
      <c r="E167" s="78"/>
      <c r="F167" s="78"/>
      <c r="G167" s="94"/>
    </row>
    <row r="168" spans="3:7" ht="23.25" customHeight="1" x14ac:dyDescent="0.25">
      <c r="C168" s="76"/>
      <c r="D168" s="78"/>
      <c r="E168" s="78"/>
      <c r="F168" s="78"/>
      <c r="G168" s="94"/>
    </row>
    <row r="169" spans="3:7" ht="23.25" customHeight="1" x14ac:dyDescent="0.25">
      <c r="C169" s="76"/>
      <c r="D169" s="78"/>
      <c r="E169" s="78"/>
      <c r="F169" s="78"/>
      <c r="G169" s="94"/>
    </row>
    <row r="170" spans="3:7" ht="23.25" customHeight="1" x14ac:dyDescent="0.25">
      <c r="C170" s="76"/>
      <c r="D170" s="78"/>
      <c r="E170" s="78"/>
      <c r="F170" s="78"/>
      <c r="G170" s="94"/>
    </row>
    <row r="171" spans="3:7" ht="23.25" customHeight="1" x14ac:dyDescent="0.25">
      <c r="C171" s="76"/>
      <c r="D171" s="78"/>
      <c r="E171" s="78"/>
      <c r="F171" s="78"/>
      <c r="G171" s="94"/>
    </row>
    <row r="172" spans="3:7" ht="23.25" customHeight="1" x14ac:dyDescent="0.25">
      <c r="C172" s="76"/>
      <c r="D172" s="78"/>
      <c r="E172" s="78"/>
      <c r="F172" s="81"/>
      <c r="G172" s="94"/>
    </row>
    <row r="173" spans="3:7" ht="23.25" customHeight="1" x14ac:dyDescent="0.25">
      <c r="C173" s="76"/>
      <c r="D173" s="78"/>
      <c r="E173" s="78"/>
      <c r="F173" s="78"/>
      <c r="G173" s="94"/>
    </row>
    <row r="174" spans="3:7" ht="23.25" customHeight="1" x14ac:dyDescent="0.25">
      <c r="C174" s="76"/>
      <c r="D174" s="78"/>
      <c r="E174" s="78"/>
      <c r="F174" s="81"/>
      <c r="G174" s="94"/>
    </row>
    <row r="175" spans="3:7" ht="23.25" customHeight="1" x14ac:dyDescent="0.25">
      <c r="C175" s="76"/>
      <c r="D175" s="78"/>
      <c r="E175" s="78"/>
      <c r="F175" s="78"/>
      <c r="G175" s="94"/>
    </row>
    <row r="176" spans="3:7" ht="23.25" customHeight="1" x14ac:dyDescent="0.25">
      <c r="C176" s="76"/>
      <c r="D176" s="78"/>
      <c r="E176" s="78"/>
      <c r="F176" s="78"/>
      <c r="G176" s="94"/>
    </row>
    <row r="177" spans="3:7" ht="23.25" customHeight="1" x14ac:dyDescent="0.25">
      <c r="C177" s="76"/>
      <c r="D177" s="78"/>
      <c r="E177" s="78"/>
      <c r="F177" s="78"/>
      <c r="G177" s="94"/>
    </row>
    <row r="178" spans="3:7" ht="23.25" customHeight="1" x14ac:dyDescent="0.25">
      <c r="C178" s="76"/>
      <c r="D178" s="78"/>
      <c r="E178" s="78"/>
      <c r="F178" s="78"/>
      <c r="G178" s="94"/>
    </row>
    <row r="179" spans="3:7" ht="23.25" customHeight="1" x14ac:dyDescent="0.25">
      <c r="C179" s="76"/>
      <c r="D179" s="78"/>
      <c r="E179" s="78"/>
      <c r="F179" s="78"/>
      <c r="G179" s="94"/>
    </row>
    <row r="180" spans="3:7" ht="23.25" customHeight="1" x14ac:dyDescent="0.25">
      <c r="C180" s="76"/>
      <c r="D180" s="78"/>
      <c r="E180" s="78"/>
      <c r="F180" s="78"/>
      <c r="G180" s="94"/>
    </row>
    <row r="181" spans="3:7" ht="23.25" customHeight="1" x14ac:dyDescent="0.25">
      <c r="C181" s="76"/>
      <c r="D181" s="78"/>
      <c r="E181" s="78"/>
      <c r="F181" s="78"/>
      <c r="G181" s="94"/>
    </row>
    <row r="182" spans="3:7" ht="23.25" customHeight="1" x14ac:dyDescent="0.25">
      <c r="C182" s="76"/>
      <c r="D182" s="78"/>
      <c r="E182" s="78"/>
      <c r="F182" s="78"/>
      <c r="G182" s="94"/>
    </row>
    <row r="183" spans="3:7" ht="23.25" customHeight="1" x14ac:dyDescent="0.25">
      <c r="C183" s="76"/>
      <c r="D183" s="78"/>
      <c r="E183" s="78"/>
      <c r="F183" s="78"/>
      <c r="G183" s="94"/>
    </row>
    <row r="184" spans="3:7" ht="23.25" customHeight="1" x14ac:dyDescent="0.25">
      <c r="C184" s="76"/>
      <c r="D184" s="78"/>
      <c r="E184" s="78"/>
      <c r="F184" s="78"/>
      <c r="G184" s="94"/>
    </row>
    <row r="185" spans="3:7" ht="23.25" customHeight="1" x14ac:dyDescent="0.25">
      <c r="C185" s="76"/>
      <c r="D185" s="78"/>
      <c r="E185" s="78"/>
      <c r="F185" s="78"/>
      <c r="G185" s="94"/>
    </row>
    <row r="186" spans="3:7" ht="23.25" customHeight="1" x14ac:dyDescent="0.25">
      <c r="C186" s="76"/>
      <c r="D186" s="78"/>
      <c r="E186" s="78"/>
      <c r="F186" s="78"/>
      <c r="G186" s="94"/>
    </row>
    <row r="187" spans="3:7" ht="23.25" customHeight="1" x14ac:dyDescent="0.25">
      <c r="C187" s="76"/>
      <c r="D187" s="78"/>
      <c r="E187" s="78"/>
      <c r="F187" s="78"/>
      <c r="G187" s="94"/>
    </row>
    <row r="188" spans="3:7" ht="23.25" customHeight="1" x14ac:dyDescent="0.25">
      <c r="C188" s="76"/>
      <c r="D188" s="78"/>
      <c r="E188" s="78"/>
      <c r="F188" s="78"/>
      <c r="G188" s="94"/>
    </row>
    <row r="189" spans="3:7" ht="23.25" customHeight="1" x14ac:dyDescent="0.25">
      <c r="C189" s="76"/>
      <c r="D189" s="78"/>
      <c r="E189" s="78"/>
      <c r="F189" s="81"/>
      <c r="G189" s="94"/>
    </row>
    <row r="190" spans="3:7" ht="23.25" customHeight="1" x14ac:dyDescent="0.25">
      <c r="C190" s="76"/>
      <c r="D190" s="78"/>
      <c r="E190" s="78"/>
      <c r="F190" s="78"/>
      <c r="G190" s="94"/>
    </row>
    <row r="191" spans="3:7" ht="23.25" customHeight="1" x14ac:dyDescent="0.25">
      <c r="C191" s="76"/>
      <c r="D191" s="78"/>
      <c r="E191" s="78"/>
      <c r="F191" s="78"/>
      <c r="G191" s="94"/>
    </row>
    <row r="192" spans="3:7" ht="23.25" customHeight="1" x14ac:dyDescent="0.25">
      <c r="C192" s="76"/>
      <c r="D192" s="78"/>
      <c r="E192" s="78"/>
      <c r="F192" s="78"/>
      <c r="G192" s="94"/>
    </row>
    <row r="193" spans="3:7" ht="23.25" customHeight="1" x14ac:dyDescent="0.25">
      <c r="C193" s="76"/>
      <c r="D193" s="78"/>
      <c r="E193" s="78"/>
      <c r="F193" s="78"/>
      <c r="G193" s="94"/>
    </row>
    <row r="194" spans="3:7" ht="23.25" customHeight="1" x14ac:dyDescent="0.25">
      <c r="C194" s="76"/>
      <c r="D194" s="78"/>
      <c r="E194" s="78"/>
      <c r="F194" s="78"/>
      <c r="G194" s="94"/>
    </row>
    <row r="195" spans="3:7" ht="23.25" customHeight="1" x14ac:dyDescent="0.25">
      <c r="C195" s="76"/>
      <c r="D195" s="78"/>
      <c r="E195" s="78"/>
      <c r="F195" s="78"/>
      <c r="G195" s="94"/>
    </row>
    <row r="196" spans="3:7" ht="23.25" customHeight="1" x14ac:dyDescent="0.25">
      <c r="C196" s="76"/>
      <c r="D196" s="78"/>
      <c r="E196" s="78"/>
      <c r="F196" s="78"/>
      <c r="G196" s="94"/>
    </row>
    <row r="197" spans="3:7" ht="23.25" customHeight="1" x14ac:dyDescent="0.25">
      <c r="C197" s="76"/>
      <c r="D197" s="78"/>
      <c r="E197" s="78"/>
      <c r="F197" s="78"/>
      <c r="G197" s="94"/>
    </row>
    <row r="198" spans="3:7" ht="23.25" customHeight="1" x14ac:dyDescent="0.25">
      <c r="C198" s="76"/>
      <c r="D198" s="78"/>
      <c r="E198" s="78"/>
      <c r="F198" s="78"/>
      <c r="G198" s="94"/>
    </row>
    <row r="199" spans="3:7" ht="23.25" customHeight="1" x14ac:dyDescent="0.25">
      <c r="C199" s="76"/>
      <c r="D199" s="78"/>
      <c r="E199" s="78"/>
      <c r="F199" s="78"/>
      <c r="G199" s="94"/>
    </row>
    <row r="200" spans="3:7" ht="23.25" customHeight="1" x14ac:dyDescent="0.25">
      <c r="C200" s="76"/>
      <c r="D200" s="78"/>
      <c r="E200" s="78"/>
      <c r="F200" s="78"/>
      <c r="G200" s="94"/>
    </row>
    <row r="201" spans="3:7" ht="23.25" customHeight="1" x14ac:dyDescent="0.25">
      <c r="C201" s="76"/>
      <c r="D201" s="78"/>
      <c r="E201" s="78"/>
      <c r="F201" s="78"/>
      <c r="G201" s="94"/>
    </row>
    <row r="202" spans="3:7" ht="23.25" customHeight="1" x14ac:dyDescent="0.25">
      <c r="C202" s="76"/>
      <c r="D202" s="78"/>
      <c r="E202" s="78"/>
      <c r="F202" s="78"/>
      <c r="G202" s="94"/>
    </row>
    <row r="203" spans="3:7" ht="23.25" customHeight="1" x14ac:dyDescent="0.25">
      <c r="C203" s="76"/>
      <c r="D203" s="78"/>
      <c r="E203" s="78"/>
      <c r="F203" s="78"/>
      <c r="G203" s="94"/>
    </row>
    <row r="204" spans="3:7" ht="23.25" customHeight="1" x14ac:dyDescent="0.25">
      <c r="C204" s="76"/>
      <c r="D204" s="78"/>
      <c r="E204" s="78"/>
      <c r="F204" s="78"/>
      <c r="G204" s="94"/>
    </row>
    <row r="205" spans="3:7" ht="23.25" customHeight="1" x14ac:dyDescent="0.25">
      <c r="C205" s="76"/>
      <c r="D205" s="78"/>
      <c r="E205" s="78"/>
      <c r="F205" s="78"/>
      <c r="G205" s="94"/>
    </row>
    <row r="206" spans="3:7" ht="23.25" customHeight="1" x14ac:dyDescent="0.25">
      <c r="C206" s="76"/>
      <c r="D206" s="78"/>
      <c r="E206" s="78"/>
      <c r="F206" s="78"/>
      <c r="G206" s="94"/>
    </row>
    <row r="207" spans="3:7" ht="23.25" customHeight="1" x14ac:dyDescent="0.25">
      <c r="C207" s="76"/>
      <c r="D207" s="78"/>
      <c r="E207" s="78"/>
      <c r="F207" s="78"/>
      <c r="G207" s="94"/>
    </row>
    <row r="208" spans="3:7" ht="23.25" customHeight="1" x14ac:dyDescent="0.25">
      <c r="C208" s="76"/>
      <c r="D208" s="78"/>
      <c r="E208" s="78"/>
      <c r="F208" s="78"/>
      <c r="G208" s="94"/>
    </row>
    <row r="209" spans="3:7" ht="23.25" customHeight="1" x14ac:dyDescent="0.25">
      <c r="C209" s="76"/>
      <c r="D209" s="78"/>
      <c r="E209" s="78"/>
      <c r="F209" s="78"/>
      <c r="G209" s="94"/>
    </row>
    <row r="210" spans="3:7" ht="23.25" customHeight="1" x14ac:dyDescent="0.25">
      <c r="C210" s="76"/>
      <c r="D210" s="78"/>
      <c r="E210" s="78"/>
      <c r="F210" s="78"/>
      <c r="G210" s="94"/>
    </row>
    <row r="211" spans="3:7" ht="23.25" customHeight="1" x14ac:dyDescent="0.25">
      <c r="C211" s="76"/>
      <c r="D211" s="78"/>
      <c r="E211" s="78"/>
      <c r="F211" s="78"/>
      <c r="G211" s="94"/>
    </row>
    <row r="212" spans="3:7" ht="23.25" customHeight="1" x14ac:dyDescent="0.25">
      <c r="C212" s="76"/>
      <c r="D212" s="78"/>
      <c r="E212" s="78"/>
      <c r="F212" s="78"/>
      <c r="G212" s="94"/>
    </row>
    <row r="213" spans="3:7" ht="23.25" customHeight="1" x14ac:dyDescent="0.25">
      <c r="C213" s="76"/>
      <c r="D213" s="78"/>
      <c r="E213" s="78"/>
      <c r="F213" s="78"/>
      <c r="G213" s="94"/>
    </row>
    <row r="214" spans="3:7" ht="23.25" customHeight="1" x14ac:dyDescent="0.25">
      <c r="C214" s="76"/>
      <c r="D214" s="78"/>
      <c r="E214" s="78"/>
      <c r="F214" s="78"/>
      <c r="G214" s="94"/>
    </row>
    <row r="215" spans="3:7" ht="23.25" customHeight="1" x14ac:dyDescent="0.25">
      <c r="C215" s="76"/>
      <c r="D215" s="78"/>
      <c r="E215" s="78"/>
      <c r="F215" s="78"/>
      <c r="G215" s="94"/>
    </row>
    <row r="216" spans="3:7" ht="23.25" customHeight="1" x14ac:dyDescent="0.25">
      <c r="C216" s="76"/>
      <c r="D216" s="78"/>
      <c r="E216" s="78"/>
      <c r="F216" s="78"/>
      <c r="G216" s="94"/>
    </row>
    <row r="217" spans="3:7" ht="23.25" customHeight="1" x14ac:dyDescent="0.25">
      <c r="C217" s="76"/>
      <c r="D217" s="78"/>
      <c r="E217" s="78"/>
      <c r="F217" s="78"/>
      <c r="G217" s="94"/>
    </row>
    <row r="218" spans="3:7" ht="23.25" customHeight="1" x14ac:dyDescent="0.25">
      <c r="C218" s="76"/>
      <c r="D218" s="78"/>
      <c r="E218" s="78"/>
      <c r="F218" s="78"/>
      <c r="G218" s="94"/>
    </row>
    <row r="219" spans="3:7" ht="23.25" customHeight="1" x14ac:dyDescent="0.25">
      <c r="C219" s="76"/>
      <c r="D219" s="78"/>
      <c r="E219" s="78"/>
      <c r="F219" s="78"/>
      <c r="G219" s="94"/>
    </row>
    <row r="220" spans="3:7" ht="23.25" customHeight="1" x14ac:dyDescent="0.25">
      <c r="C220" s="76"/>
      <c r="D220" s="78"/>
      <c r="E220" s="78"/>
      <c r="F220" s="78"/>
      <c r="G220" s="94"/>
    </row>
    <row r="221" spans="3:7" ht="23.25" customHeight="1" x14ac:dyDescent="0.25">
      <c r="C221" s="76"/>
      <c r="D221" s="78"/>
      <c r="E221" s="78"/>
      <c r="F221" s="78"/>
      <c r="G221" s="94"/>
    </row>
    <row r="222" spans="3:7" ht="23.25" customHeight="1" x14ac:dyDescent="0.25">
      <c r="C222" s="76"/>
      <c r="D222" s="78"/>
      <c r="E222" s="78"/>
      <c r="F222" s="78"/>
      <c r="G222" s="94"/>
    </row>
    <row r="223" spans="3:7" ht="23.25" customHeight="1" x14ac:dyDescent="0.25">
      <c r="C223" s="76"/>
      <c r="D223" s="78"/>
      <c r="E223" s="78"/>
      <c r="F223" s="81"/>
      <c r="G223" s="94"/>
    </row>
    <row r="224" spans="3:7" ht="23.25" customHeight="1" x14ac:dyDescent="0.25">
      <c r="C224" s="76"/>
      <c r="D224" s="78"/>
      <c r="E224" s="78"/>
      <c r="F224" s="78"/>
      <c r="G224" s="94"/>
    </row>
    <row r="225" spans="3:7" ht="23.25" customHeight="1" x14ac:dyDescent="0.25">
      <c r="C225" s="76"/>
      <c r="D225" s="78"/>
      <c r="E225" s="78"/>
      <c r="F225" s="78"/>
      <c r="G225" s="94"/>
    </row>
    <row r="226" spans="3:7" ht="23.25" customHeight="1" x14ac:dyDescent="0.25">
      <c r="C226" s="76"/>
      <c r="D226" s="78"/>
      <c r="E226" s="78"/>
      <c r="F226" s="78"/>
      <c r="G226" s="94"/>
    </row>
    <row r="227" spans="3:7" ht="23.25" customHeight="1" x14ac:dyDescent="0.25">
      <c r="C227" s="76"/>
      <c r="D227" s="78"/>
      <c r="E227" s="78"/>
      <c r="F227" s="78"/>
      <c r="G227" s="94"/>
    </row>
    <row r="228" spans="3:7" ht="23.25" customHeight="1" x14ac:dyDescent="0.25">
      <c r="C228" s="76"/>
      <c r="D228" s="78"/>
      <c r="E228" s="78"/>
      <c r="F228" s="78"/>
      <c r="G228" s="94"/>
    </row>
    <row r="229" spans="3:7" ht="23.25" customHeight="1" x14ac:dyDescent="0.25">
      <c r="C229" s="76"/>
      <c r="D229" s="78"/>
      <c r="E229" s="78"/>
      <c r="F229" s="78"/>
      <c r="G229" s="94"/>
    </row>
    <row r="230" spans="3:7" ht="23.25" customHeight="1" x14ac:dyDescent="0.25">
      <c r="C230" s="76"/>
      <c r="D230" s="78"/>
      <c r="E230" s="78"/>
      <c r="F230" s="78"/>
      <c r="G230" s="94"/>
    </row>
    <row r="231" spans="3:7" ht="23.25" customHeight="1" x14ac:dyDescent="0.25">
      <c r="C231" s="76"/>
      <c r="D231" s="78"/>
      <c r="E231" s="78"/>
      <c r="F231" s="78"/>
      <c r="G231" s="94"/>
    </row>
    <row r="232" spans="3:7" ht="23.25" customHeight="1" x14ac:dyDescent="0.25">
      <c r="C232" s="76"/>
      <c r="D232" s="78"/>
      <c r="E232" s="78"/>
      <c r="F232" s="78"/>
      <c r="G232" s="94"/>
    </row>
    <row r="233" spans="3:7" ht="23.25" customHeight="1" x14ac:dyDescent="0.25">
      <c r="C233" s="76"/>
      <c r="D233" s="78"/>
      <c r="E233" s="78"/>
      <c r="F233" s="78"/>
      <c r="G233" s="94"/>
    </row>
    <row r="234" spans="3:7" ht="23.25" customHeight="1" x14ac:dyDescent="0.25">
      <c r="C234" s="76"/>
      <c r="D234" s="78"/>
      <c r="E234" s="78"/>
      <c r="F234" s="78"/>
      <c r="G234" s="94"/>
    </row>
    <row r="235" spans="3:7" ht="23.25" customHeight="1" x14ac:dyDescent="0.25">
      <c r="C235" s="76"/>
      <c r="D235" s="78"/>
      <c r="E235" s="78"/>
      <c r="F235" s="78"/>
      <c r="G235" s="94"/>
    </row>
    <row r="236" spans="3:7" ht="23.25" customHeight="1" x14ac:dyDescent="0.25">
      <c r="C236" s="76"/>
      <c r="D236" s="78"/>
      <c r="E236" s="78"/>
      <c r="F236" s="78"/>
      <c r="G236" s="94"/>
    </row>
    <row r="237" spans="3:7" ht="23.25" customHeight="1" x14ac:dyDescent="0.25">
      <c r="C237" s="76"/>
      <c r="D237" s="78"/>
      <c r="E237" s="78"/>
      <c r="F237" s="78"/>
      <c r="G237" s="94"/>
    </row>
    <row r="238" spans="3:7" ht="23.25" customHeight="1" x14ac:dyDescent="0.25">
      <c r="C238" s="76"/>
      <c r="D238" s="78"/>
      <c r="E238" s="78"/>
      <c r="F238" s="78"/>
      <c r="G238" s="94"/>
    </row>
    <row r="239" spans="3:7" ht="23.25" customHeight="1" x14ac:dyDescent="0.25">
      <c r="C239" s="76"/>
      <c r="D239" s="78"/>
      <c r="E239" s="78"/>
      <c r="F239" s="78"/>
      <c r="G239" s="94"/>
    </row>
    <row r="240" spans="3:7" ht="23.25" customHeight="1" x14ac:dyDescent="0.25">
      <c r="C240" s="76"/>
      <c r="D240" s="78"/>
      <c r="E240" s="78"/>
      <c r="F240" s="78"/>
      <c r="G240" s="94"/>
    </row>
    <row r="241" spans="3:7" ht="23.25" customHeight="1" x14ac:dyDescent="0.25">
      <c r="C241" s="76"/>
      <c r="D241" s="78"/>
      <c r="E241" s="78"/>
      <c r="F241" s="78"/>
      <c r="G241" s="94"/>
    </row>
    <row r="242" spans="3:7" ht="23.25" customHeight="1" x14ac:dyDescent="0.25">
      <c r="C242" s="76"/>
      <c r="D242" s="78"/>
      <c r="E242" s="78"/>
      <c r="F242" s="78"/>
      <c r="G242" s="94"/>
    </row>
    <row r="243" spans="3:7" ht="23.25" customHeight="1" x14ac:dyDescent="0.25">
      <c r="C243" s="76"/>
      <c r="D243" s="78"/>
      <c r="E243" s="78"/>
      <c r="F243" s="81"/>
      <c r="G243" s="94"/>
    </row>
    <row r="244" spans="3:7" ht="23.25" customHeight="1" x14ac:dyDescent="0.25">
      <c r="C244" s="76"/>
      <c r="D244" s="78"/>
      <c r="E244" s="78"/>
      <c r="F244" s="78"/>
      <c r="G244" s="94"/>
    </row>
    <row r="245" spans="3:7" ht="23.25" customHeight="1" x14ac:dyDescent="0.25">
      <c r="C245" s="76"/>
      <c r="D245" s="78"/>
      <c r="E245" s="78"/>
      <c r="F245" s="81"/>
      <c r="G245" s="94"/>
    </row>
    <row r="246" spans="3:7" ht="23.25" customHeight="1" x14ac:dyDescent="0.25">
      <c r="C246" s="76"/>
      <c r="D246" s="78"/>
      <c r="E246" s="78"/>
      <c r="F246" s="81"/>
      <c r="G246" s="94"/>
    </row>
    <row r="247" spans="3:7" ht="23.25" customHeight="1" x14ac:dyDescent="0.25">
      <c r="C247" s="76"/>
      <c r="D247" s="78"/>
      <c r="E247" s="78"/>
      <c r="F247" s="78"/>
      <c r="G247" s="94"/>
    </row>
    <row r="248" spans="3:7" ht="23.25" customHeight="1" x14ac:dyDescent="0.25">
      <c r="C248" s="76"/>
      <c r="D248" s="78"/>
      <c r="E248" s="78"/>
      <c r="F248" s="78"/>
      <c r="G248" s="94"/>
    </row>
    <row r="249" spans="3:7" ht="23.25" customHeight="1" x14ac:dyDescent="0.25">
      <c r="C249" s="76"/>
      <c r="D249" s="78"/>
      <c r="E249" s="78"/>
      <c r="F249" s="78"/>
      <c r="G249" s="94"/>
    </row>
    <row r="250" spans="3:7" ht="23.25" customHeight="1" x14ac:dyDescent="0.25">
      <c r="C250" s="76"/>
      <c r="D250" s="78"/>
      <c r="E250" s="78"/>
      <c r="F250" s="78"/>
      <c r="G250" s="94"/>
    </row>
    <row r="251" spans="3:7" ht="23.25" customHeight="1" x14ac:dyDescent="0.25">
      <c r="C251" s="76"/>
      <c r="D251" s="78"/>
      <c r="E251" s="78"/>
      <c r="F251" s="78"/>
      <c r="G251" s="94"/>
    </row>
    <row r="252" spans="3:7" ht="23.25" customHeight="1" x14ac:dyDescent="0.25">
      <c r="C252" s="76"/>
      <c r="D252" s="78"/>
      <c r="E252" s="78"/>
      <c r="F252" s="78"/>
      <c r="G252" s="94"/>
    </row>
    <row r="253" spans="3:7" ht="23.25" customHeight="1" x14ac:dyDescent="0.25">
      <c r="C253" s="76"/>
      <c r="D253" s="78"/>
      <c r="E253" s="78"/>
      <c r="F253" s="78"/>
      <c r="G253" s="94"/>
    </row>
    <row r="254" spans="3:7" ht="23.25" customHeight="1" x14ac:dyDescent="0.25">
      <c r="C254" s="76"/>
      <c r="D254" s="78"/>
      <c r="E254" s="78"/>
      <c r="F254" s="78"/>
      <c r="G254" s="94"/>
    </row>
    <row r="255" spans="3:7" ht="23.25" customHeight="1" x14ac:dyDescent="0.25">
      <c r="C255" s="76"/>
      <c r="D255" s="78"/>
      <c r="E255" s="78"/>
      <c r="F255" s="78"/>
      <c r="G255" s="94"/>
    </row>
    <row r="256" spans="3:7" ht="23.25" customHeight="1" x14ac:dyDescent="0.25">
      <c r="C256" s="76"/>
      <c r="D256" s="78"/>
      <c r="E256" s="78"/>
      <c r="F256" s="78"/>
      <c r="G256" s="94"/>
    </row>
    <row r="257" spans="3:7" ht="23.25" customHeight="1" x14ac:dyDescent="0.25">
      <c r="C257" s="76"/>
      <c r="D257" s="78"/>
      <c r="E257" s="78"/>
      <c r="F257" s="78"/>
      <c r="G257" s="94"/>
    </row>
    <row r="258" spans="3:7" ht="23.25" customHeight="1" x14ac:dyDescent="0.25">
      <c r="C258" s="76"/>
      <c r="D258" s="78"/>
      <c r="E258" s="78"/>
      <c r="F258" s="78"/>
      <c r="G258" s="94"/>
    </row>
    <row r="259" spans="3:7" ht="23.25" customHeight="1" x14ac:dyDescent="0.25">
      <c r="C259" s="76"/>
      <c r="D259" s="78"/>
      <c r="E259" s="78"/>
      <c r="F259" s="78"/>
      <c r="G259" s="94"/>
    </row>
    <row r="260" spans="3:7" x14ac:dyDescent="0.25">
      <c r="C260" s="76"/>
      <c r="D260" s="78"/>
      <c r="E260" s="78"/>
      <c r="F260" s="78"/>
      <c r="G260" s="94"/>
    </row>
    <row r="261" spans="3:7" ht="23.25" customHeight="1" x14ac:dyDescent="0.25">
      <c r="C261" s="76"/>
      <c r="D261" s="78"/>
      <c r="E261" s="78"/>
      <c r="F261" s="78"/>
      <c r="G261" s="94"/>
    </row>
    <row r="262" spans="3:7" ht="23.25" customHeight="1" x14ac:dyDescent="0.25">
      <c r="C262" s="76"/>
      <c r="D262" s="78"/>
      <c r="E262" s="78"/>
      <c r="F262" s="78"/>
      <c r="G262" s="94"/>
    </row>
    <row r="263" spans="3:7" ht="23.25" customHeight="1" x14ac:dyDescent="0.25">
      <c r="C263" s="76"/>
      <c r="D263" s="78"/>
      <c r="E263" s="78"/>
      <c r="F263" s="78"/>
      <c r="G263" s="94"/>
    </row>
    <row r="264" spans="3:7" ht="23.25" customHeight="1" x14ac:dyDescent="0.25">
      <c r="C264" s="76"/>
      <c r="D264" s="78"/>
      <c r="E264" s="78"/>
      <c r="F264" s="78"/>
      <c r="G264" s="94"/>
    </row>
    <row r="265" spans="3:7" ht="23.25" customHeight="1" x14ac:dyDescent="0.25">
      <c r="C265" s="76"/>
      <c r="D265" s="78"/>
      <c r="E265" s="78"/>
      <c r="F265" s="78"/>
      <c r="G265" s="94"/>
    </row>
    <row r="266" spans="3:7" ht="23.25" customHeight="1" x14ac:dyDescent="0.25">
      <c r="C266" s="76"/>
      <c r="D266" s="78"/>
      <c r="E266" s="78"/>
      <c r="F266" s="78"/>
      <c r="G266" s="94"/>
    </row>
    <row r="267" spans="3:7" ht="23.25" customHeight="1" x14ac:dyDescent="0.25">
      <c r="C267" s="76"/>
      <c r="D267" s="78"/>
      <c r="E267" s="78"/>
      <c r="F267" s="78"/>
      <c r="G267" s="94"/>
    </row>
    <row r="268" spans="3:7" ht="23.25" customHeight="1" x14ac:dyDescent="0.25">
      <c r="C268" s="76"/>
      <c r="D268" s="78"/>
      <c r="E268" s="78"/>
      <c r="F268" s="78"/>
      <c r="G268" s="94"/>
    </row>
    <row r="269" spans="3:7" ht="23.25" customHeight="1" x14ac:dyDescent="0.25">
      <c r="C269" s="76"/>
      <c r="D269" s="78"/>
      <c r="E269" s="78"/>
      <c r="F269" s="78"/>
      <c r="G269" s="94"/>
    </row>
    <row r="270" spans="3:7" ht="23.25" customHeight="1" x14ac:dyDescent="0.25">
      <c r="C270" s="76"/>
      <c r="D270" s="78"/>
      <c r="E270" s="78"/>
      <c r="F270" s="78"/>
      <c r="G270" s="94"/>
    </row>
    <row r="271" spans="3:7" ht="23.25" customHeight="1" x14ac:dyDescent="0.25">
      <c r="C271" s="76"/>
      <c r="D271" s="78"/>
      <c r="E271" s="78"/>
      <c r="F271" s="78"/>
      <c r="G271" s="94"/>
    </row>
    <row r="272" spans="3:7" ht="23.25" customHeight="1" x14ac:dyDescent="0.25">
      <c r="C272" s="76"/>
      <c r="D272" s="78"/>
      <c r="E272" s="78"/>
      <c r="F272" s="78"/>
      <c r="G272" s="94"/>
    </row>
    <row r="273" spans="3:7" ht="23.25" customHeight="1" x14ac:dyDescent="0.25">
      <c r="C273" s="76"/>
      <c r="D273" s="78"/>
      <c r="E273" s="78"/>
      <c r="F273" s="78"/>
      <c r="G273" s="94"/>
    </row>
    <row r="274" spans="3:7" ht="23.25" customHeight="1" x14ac:dyDescent="0.25">
      <c r="C274" s="76"/>
      <c r="D274" s="78"/>
      <c r="E274" s="78"/>
      <c r="F274" s="78"/>
      <c r="G274" s="94"/>
    </row>
    <row r="275" spans="3:7" ht="23.25" customHeight="1" x14ac:dyDescent="0.25">
      <c r="C275" s="76"/>
      <c r="D275" s="78"/>
      <c r="E275" s="78"/>
      <c r="F275" s="78"/>
      <c r="G275" s="94"/>
    </row>
    <row r="276" spans="3:7" x14ac:dyDescent="0.25">
      <c r="C276" s="76"/>
      <c r="D276" s="78"/>
      <c r="E276" s="78"/>
      <c r="F276" s="78"/>
      <c r="G276" s="94"/>
    </row>
    <row r="277" spans="3:7" x14ac:dyDescent="0.25">
      <c r="C277" s="76"/>
      <c r="D277" s="78"/>
      <c r="E277" s="78"/>
      <c r="F277" s="78"/>
      <c r="G277" s="94"/>
    </row>
    <row r="278" spans="3:7" ht="23.25" customHeight="1" x14ac:dyDescent="0.25">
      <c r="C278" s="76"/>
      <c r="D278" s="78"/>
      <c r="E278" s="78"/>
      <c r="F278" s="78"/>
      <c r="G278" s="94"/>
    </row>
    <row r="279" spans="3:7" x14ac:dyDescent="0.25">
      <c r="C279" s="76"/>
      <c r="D279" s="78"/>
      <c r="E279" s="78"/>
      <c r="F279" s="78"/>
      <c r="G279" s="94"/>
    </row>
    <row r="280" spans="3:7" ht="23.25" customHeight="1" x14ac:dyDescent="0.25">
      <c r="C280" s="76"/>
      <c r="D280" s="78"/>
      <c r="E280" s="78"/>
      <c r="F280" s="78"/>
      <c r="G280" s="94"/>
    </row>
    <row r="281" spans="3:7" ht="23.25" customHeight="1" x14ac:dyDescent="0.25">
      <c r="C281" s="76"/>
      <c r="D281" s="78"/>
      <c r="E281" s="78"/>
      <c r="F281" s="78"/>
      <c r="G281" s="94"/>
    </row>
    <row r="282" spans="3:7" ht="23.25" customHeight="1" x14ac:dyDescent="0.25">
      <c r="C282" s="76"/>
      <c r="D282" s="78"/>
      <c r="E282" s="78"/>
      <c r="F282" s="78"/>
      <c r="G282" s="94"/>
    </row>
    <row r="283" spans="3:7" ht="23.25" customHeight="1" x14ac:dyDescent="0.25">
      <c r="C283" s="76"/>
      <c r="D283" s="78"/>
      <c r="E283" s="78"/>
      <c r="F283" s="78"/>
      <c r="G283" s="94"/>
    </row>
    <row r="284" spans="3:7" ht="23.25" customHeight="1" x14ac:dyDescent="0.25">
      <c r="C284" s="76"/>
      <c r="D284" s="78"/>
      <c r="E284" s="78"/>
      <c r="F284" s="78"/>
      <c r="G284" s="94"/>
    </row>
    <row r="285" spans="3:7" ht="23.25" customHeight="1" x14ac:dyDescent="0.25">
      <c r="C285" s="76"/>
      <c r="D285" s="78"/>
      <c r="E285" s="78"/>
      <c r="F285" s="78"/>
      <c r="G285" s="94"/>
    </row>
    <row r="286" spans="3:7" x14ac:dyDescent="0.25">
      <c r="C286" s="76"/>
      <c r="D286" s="78"/>
      <c r="E286" s="78"/>
      <c r="F286" s="78"/>
      <c r="G286" s="94"/>
    </row>
    <row r="287" spans="3:7" x14ac:dyDescent="0.25">
      <c r="C287" s="76"/>
      <c r="D287" s="78"/>
      <c r="E287" s="78"/>
      <c r="F287" s="78"/>
      <c r="G287" s="94"/>
    </row>
    <row r="288" spans="3:7" x14ac:dyDescent="0.25">
      <c r="C288" s="76"/>
      <c r="D288" s="78"/>
      <c r="E288" s="78"/>
      <c r="F288" s="78"/>
      <c r="G288" s="94"/>
    </row>
    <row r="289" spans="3:7" x14ac:dyDescent="0.25">
      <c r="C289" s="76"/>
      <c r="D289" s="78"/>
      <c r="E289" s="78"/>
      <c r="F289" s="78"/>
      <c r="G289" s="94"/>
    </row>
    <row r="290" spans="3:7" x14ac:dyDescent="0.25">
      <c r="C290" s="76"/>
      <c r="D290" s="78"/>
      <c r="E290" s="78"/>
      <c r="F290" s="78"/>
      <c r="G290" s="94"/>
    </row>
    <row r="291" spans="3:7" x14ac:dyDescent="0.25">
      <c r="C291" s="76"/>
      <c r="D291" s="78"/>
      <c r="E291" s="78"/>
      <c r="F291" s="78"/>
      <c r="G291" s="94"/>
    </row>
    <row r="292" spans="3:7" x14ac:dyDescent="0.25">
      <c r="C292" s="76"/>
      <c r="D292" s="78"/>
      <c r="E292" s="78"/>
      <c r="F292" s="78"/>
      <c r="G292" s="94"/>
    </row>
    <row r="293" spans="3:7" x14ac:dyDescent="0.25">
      <c r="C293" s="76"/>
      <c r="D293" s="78"/>
      <c r="E293" s="78"/>
      <c r="F293" s="78"/>
      <c r="G293" s="94"/>
    </row>
    <row r="294" spans="3:7" x14ac:dyDescent="0.25">
      <c r="C294" s="76"/>
      <c r="D294" s="78"/>
      <c r="E294" s="78"/>
      <c r="F294" s="78"/>
      <c r="G294" s="94"/>
    </row>
    <row r="295" spans="3:7" x14ac:dyDescent="0.25">
      <c r="C295" s="76"/>
      <c r="D295" s="78"/>
      <c r="E295" s="78"/>
      <c r="F295" s="78"/>
      <c r="G295" s="94"/>
    </row>
    <row r="296" spans="3:7" x14ac:dyDescent="0.25">
      <c r="C296" s="76"/>
      <c r="D296" s="78"/>
      <c r="E296" s="78"/>
      <c r="F296" s="78"/>
      <c r="G296" s="94"/>
    </row>
    <row r="297" spans="3:7" ht="39.75" customHeight="1" x14ac:dyDescent="0.25">
      <c r="C297" s="76"/>
      <c r="D297" s="78"/>
      <c r="E297" s="78"/>
      <c r="F297" s="78"/>
      <c r="G297" s="94"/>
    </row>
    <row r="298" spans="3:7" x14ac:dyDescent="0.25">
      <c r="C298" s="76"/>
      <c r="D298" s="78"/>
      <c r="E298" s="78"/>
      <c r="F298" s="78"/>
      <c r="G298" s="94"/>
    </row>
    <row r="299" spans="3:7" x14ac:dyDescent="0.25">
      <c r="C299" s="76"/>
      <c r="D299" s="78"/>
      <c r="E299" s="78"/>
      <c r="F299" s="78"/>
      <c r="G299" s="94"/>
    </row>
    <row r="300" spans="3:7" x14ac:dyDescent="0.25">
      <c r="C300" s="76"/>
      <c r="D300" s="78"/>
      <c r="E300" s="78"/>
      <c r="F300" s="78"/>
      <c r="G300" s="94"/>
    </row>
    <row r="301" spans="3:7" x14ac:dyDescent="0.25">
      <c r="C301" s="76"/>
      <c r="D301" s="78"/>
      <c r="E301" s="78"/>
      <c r="F301" s="78"/>
      <c r="G301" s="94"/>
    </row>
    <row r="302" spans="3:7" x14ac:dyDescent="0.25">
      <c r="C302" s="76"/>
      <c r="D302" s="78"/>
      <c r="E302" s="78"/>
      <c r="F302" s="78"/>
      <c r="G302" s="94"/>
    </row>
    <row r="303" spans="3:7" x14ac:dyDescent="0.25">
      <c r="C303" s="76"/>
      <c r="D303" s="78"/>
      <c r="E303" s="78"/>
      <c r="F303" s="78"/>
      <c r="G303" s="94"/>
    </row>
    <row r="304" spans="3:7" x14ac:dyDescent="0.25">
      <c r="C304" s="76"/>
      <c r="D304" s="78"/>
      <c r="E304" s="78"/>
      <c r="F304" s="78"/>
      <c r="G304" s="94"/>
    </row>
    <row r="305" spans="3:7" x14ac:dyDescent="0.25">
      <c r="C305" s="76"/>
      <c r="D305" s="78"/>
      <c r="E305" s="78"/>
      <c r="F305" s="78"/>
      <c r="G305" s="94"/>
    </row>
    <row r="306" spans="3:7" x14ac:dyDescent="0.25">
      <c r="C306" s="76"/>
      <c r="D306" s="78"/>
      <c r="E306" s="78"/>
      <c r="F306" s="78"/>
      <c r="G306" s="94"/>
    </row>
    <row r="307" spans="3:7" ht="23.25" customHeight="1" x14ac:dyDescent="0.25">
      <c r="C307" s="76"/>
      <c r="D307" s="78"/>
      <c r="E307" s="78"/>
      <c r="F307" s="78"/>
      <c r="G307" s="94"/>
    </row>
    <row r="308" spans="3:7" x14ac:dyDescent="0.25">
      <c r="C308" s="76"/>
      <c r="D308" s="78"/>
      <c r="E308" s="78"/>
      <c r="F308" s="78"/>
      <c r="G308" s="94"/>
    </row>
    <row r="309" spans="3:7" x14ac:dyDescent="0.25">
      <c r="C309" s="76"/>
      <c r="D309" s="78"/>
      <c r="E309" s="78"/>
      <c r="F309" s="78"/>
      <c r="G309" s="94"/>
    </row>
    <row r="310" spans="3:7" x14ac:dyDescent="0.25">
      <c r="C310" s="76"/>
      <c r="D310" s="78"/>
      <c r="E310" s="78"/>
      <c r="F310" s="78"/>
      <c r="G310" s="94"/>
    </row>
    <row r="311" spans="3:7" x14ac:dyDescent="0.25">
      <c r="C311" s="76"/>
      <c r="D311" s="78"/>
      <c r="E311" s="78"/>
      <c r="F311" s="78"/>
      <c r="G311" s="94"/>
    </row>
    <row r="312" spans="3:7" x14ac:dyDescent="0.25">
      <c r="C312" s="76"/>
      <c r="D312" s="78"/>
      <c r="E312" s="78"/>
      <c r="F312" s="78"/>
      <c r="G312" s="94"/>
    </row>
    <row r="313" spans="3:7" ht="23.25" customHeight="1" x14ac:dyDescent="0.25">
      <c r="C313" s="76"/>
      <c r="D313" s="78"/>
      <c r="E313" s="78"/>
      <c r="F313" s="78"/>
      <c r="G313" s="94"/>
    </row>
    <row r="314" spans="3:7" x14ac:dyDescent="0.25">
      <c r="C314" s="76"/>
      <c r="D314" s="78"/>
      <c r="E314" s="78"/>
      <c r="F314" s="78"/>
      <c r="G314" s="94"/>
    </row>
    <row r="315" spans="3:7" x14ac:dyDescent="0.25">
      <c r="C315" s="76"/>
      <c r="D315" s="78"/>
      <c r="E315" s="78"/>
      <c r="F315" s="78"/>
      <c r="G315" s="94"/>
    </row>
    <row r="316" spans="3:7" x14ac:dyDescent="0.25">
      <c r="C316" s="76"/>
      <c r="D316" s="78"/>
      <c r="E316" s="78"/>
      <c r="F316" s="78"/>
      <c r="G316" s="94"/>
    </row>
    <row r="317" spans="3:7" x14ac:dyDescent="0.25">
      <c r="C317" s="76"/>
      <c r="D317" s="78"/>
      <c r="E317" s="78"/>
      <c r="F317" s="78"/>
      <c r="G317" s="94"/>
    </row>
    <row r="318" spans="3:7" x14ac:dyDescent="0.25">
      <c r="C318" s="76"/>
      <c r="D318" s="78"/>
      <c r="E318" s="78"/>
      <c r="F318" s="78"/>
      <c r="G318" s="94"/>
    </row>
    <row r="319" spans="3:7" ht="23.25" customHeight="1" x14ac:dyDescent="0.25">
      <c r="C319" s="76"/>
      <c r="D319" s="78"/>
      <c r="E319" s="78"/>
      <c r="F319" s="78"/>
      <c r="G319" s="94"/>
    </row>
    <row r="320" spans="3:7" ht="23.25" customHeight="1" x14ac:dyDescent="0.25">
      <c r="C320" s="76"/>
      <c r="D320" s="78"/>
      <c r="E320" s="78"/>
      <c r="F320" s="78"/>
      <c r="G320" s="94"/>
    </row>
    <row r="321" spans="3:7" ht="23.25" customHeight="1" x14ac:dyDescent="0.25">
      <c r="C321" s="76"/>
      <c r="D321" s="78"/>
      <c r="E321" s="78"/>
      <c r="F321" s="78"/>
      <c r="G321" s="94"/>
    </row>
    <row r="322" spans="3:7" ht="23.25" customHeight="1" x14ac:dyDescent="0.25">
      <c r="C322" s="76"/>
      <c r="D322" s="78"/>
      <c r="E322" s="78"/>
      <c r="F322" s="78"/>
      <c r="G322" s="94"/>
    </row>
    <row r="323" spans="3:7" ht="23.25" customHeight="1" x14ac:dyDescent="0.25">
      <c r="C323" s="76"/>
      <c r="D323" s="78"/>
      <c r="E323" s="78"/>
      <c r="F323" s="78"/>
      <c r="G323" s="94"/>
    </row>
    <row r="324" spans="3:7" ht="23.25" customHeight="1" x14ac:dyDescent="0.25">
      <c r="C324" s="76"/>
      <c r="D324" s="78"/>
      <c r="E324" s="78"/>
      <c r="F324" s="78"/>
      <c r="G324" s="94"/>
    </row>
    <row r="325" spans="3:7" ht="23.25" customHeight="1" x14ac:dyDescent="0.25">
      <c r="C325" s="76"/>
      <c r="D325" s="78"/>
      <c r="E325" s="78"/>
      <c r="F325" s="78"/>
      <c r="G325" s="94"/>
    </row>
    <row r="326" spans="3:7" x14ac:dyDescent="0.25">
      <c r="C326" s="76"/>
      <c r="D326" s="78"/>
      <c r="E326" s="78"/>
      <c r="F326" s="78"/>
      <c r="G326" s="94"/>
    </row>
    <row r="327" spans="3:7" x14ac:dyDescent="0.25">
      <c r="C327" s="76"/>
      <c r="D327" s="78"/>
      <c r="E327" s="78"/>
      <c r="F327" s="78"/>
      <c r="G327" s="94"/>
    </row>
    <row r="328" spans="3:7" x14ac:dyDescent="0.25">
      <c r="C328" s="76"/>
      <c r="D328" s="78"/>
      <c r="E328" s="78"/>
      <c r="F328" s="78"/>
      <c r="G328" s="94"/>
    </row>
    <row r="329" spans="3:7" x14ac:dyDescent="0.25">
      <c r="C329" s="76"/>
      <c r="D329" s="78"/>
      <c r="E329" s="78"/>
      <c r="F329" s="78"/>
      <c r="G329" s="94"/>
    </row>
    <row r="330" spans="3:7" x14ac:dyDescent="0.25">
      <c r="C330" s="76"/>
      <c r="D330" s="78"/>
      <c r="E330" s="78"/>
      <c r="F330" s="78"/>
      <c r="G330" s="94"/>
    </row>
    <row r="331" spans="3:7" x14ac:dyDescent="0.25">
      <c r="C331" s="76"/>
      <c r="D331" s="78"/>
      <c r="E331" s="78"/>
      <c r="F331" s="78"/>
      <c r="G331" s="94"/>
    </row>
    <row r="332" spans="3:7" x14ac:dyDescent="0.25">
      <c r="C332" s="76"/>
      <c r="D332" s="78"/>
      <c r="E332" s="78"/>
      <c r="F332" s="78"/>
      <c r="G332" s="94"/>
    </row>
    <row r="333" spans="3:7" x14ac:dyDescent="0.25">
      <c r="C333" s="76"/>
      <c r="D333" s="78"/>
      <c r="E333" s="78"/>
      <c r="F333" s="78"/>
      <c r="G333" s="94"/>
    </row>
    <row r="334" spans="3:7" x14ac:dyDescent="0.25">
      <c r="C334" s="76"/>
      <c r="D334" s="78"/>
      <c r="E334" s="78"/>
      <c r="F334" s="78"/>
      <c r="G334" s="94"/>
    </row>
    <row r="335" spans="3:7" x14ac:dyDescent="0.25">
      <c r="C335" s="76"/>
      <c r="D335" s="78"/>
      <c r="E335" s="78"/>
      <c r="F335" s="78"/>
      <c r="G335" s="94"/>
    </row>
    <row r="336" spans="3:7" x14ac:dyDescent="0.25">
      <c r="C336" s="76"/>
      <c r="D336" s="78"/>
      <c r="E336" s="78"/>
      <c r="F336" s="78"/>
      <c r="G336" s="94"/>
    </row>
    <row r="337" spans="3:7" x14ac:dyDescent="0.25">
      <c r="C337" s="76"/>
      <c r="D337" s="78"/>
      <c r="E337" s="78"/>
      <c r="F337" s="78"/>
      <c r="G337" s="94"/>
    </row>
    <row r="338" spans="3:7" x14ac:dyDescent="0.25">
      <c r="C338" s="76"/>
      <c r="D338" s="78"/>
      <c r="E338" s="78"/>
      <c r="F338" s="78"/>
      <c r="G338" s="94"/>
    </row>
    <row r="339" spans="3:7" x14ac:dyDescent="0.25">
      <c r="C339" s="76"/>
      <c r="D339" s="78"/>
      <c r="E339" s="78"/>
      <c r="F339" s="78"/>
      <c r="G339" s="94"/>
    </row>
    <row r="340" spans="3:7" x14ac:dyDescent="0.25">
      <c r="C340" s="76"/>
      <c r="D340" s="78"/>
      <c r="E340" s="78"/>
      <c r="F340" s="78"/>
      <c r="G340" s="94"/>
    </row>
    <row r="341" spans="3:7" x14ac:dyDescent="0.25">
      <c r="C341" s="76"/>
      <c r="D341" s="78"/>
      <c r="E341" s="78"/>
      <c r="F341" s="78"/>
      <c r="G341" s="94"/>
    </row>
    <row r="342" spans="3:7" x14ac:dyDescent="0.25">
      <c r="C342" s="76"/>
      <c r="D342" s="78"/>
      <c r="E342" s="78"/>
      <c r="F342" s="78"/>
      <c r="G342" s="94"/>
    </row>
    <row r="343" spans="3:7" x14ac:dyDescent="0.25">
      <c r="C343" s="76"/>
      <c r="D343" s="78"/>
      <c r="E343" s="78"/>
      <c r="F343" s="78"/>
      <c r="G343" s="94"/>
    </row>
    <row r="344" spans="3:7" x14ac:dyDescent="0.25">
      <c r="C344" s="76"/>
      <c r="D344" s="78"/>
      <c r="E344" s="78"/>
      <c r="F344" s="78"/>
      <c r="G344" s="94"/>
    </row>
    <row r="345" spans="3:7" x14ac:dyDescent="0.25">
      <c r="C345" s="76"/>
      <c r="D345" s="78"/>
      <c r="E345" s="78"/>
      <c r="F345" s="78"/>
      <c r="G345" s="94"/>
    </row>
    <row r="346" spans="3:7" x14ac:dyDescent="0.25">
      <c r="C346" s="76"/>
      <c r="D346" s="78"/>
      <c r="E346" s="78"/>
      <c r="F346" s="78"/>
      <c r="G346" s="94"/>
    </row>
    <row r="347" spans="3:7" x14ac:dyDescent="0.25">
      <c r="C347" s="76"/>
      <c r="D347" s="78"/>
      <c r="E347" s="78"/>
      <c r="F347" s="78"/>
      <c r="G347" s="94"/>
    </row>
    <row r="348" spans="3:7" x14ac:dyDescent="0.25">
      <c r="C348" s="76"/>
      <c r="D348" s="78"/>
      <c r="E348" s="78"/>
      <c r="F348" s="78"/>
      <c r="G348" s="94"/>
    </row>
    <row r="349" spans="3:7" x14ac:dyDescent="0.25">
      <c r="C349" s="76"/>
      <c r="D349" s="78"/>
      <c r="E349" s="78"/>
      <c r="F349" s="78"/>
      <c r="G349" s="94"/>
    </row>
    <row r="350" spans="3:7" x14ac:dyDescent="0.25">
      <c r="C350" s="76"/>
      <c r="D350" s="78"/>
      <c r="E350" s="78"/>
      <c r="F350" s="78"/>
      <c r="G350" s="94"/>
    </row>
    <row r="351" spans="3:7" x14ac:dyDescent="0.25">
      <c r="C351" s="76"/>
      <c r="D351" s="78"/>
      <c r="E351" s="78"/>
      <c r="F351" s="78"/>
      <c r="G351" s="94"/>
    </row>
    <row r="352" spans="3:7" x14ac:dyDescent="0.25">
      <c r="C352" s="76"/>
      <c r="D352" s="78"/>
      <c r="E352" s="78"/>
      <c r="F352" s="78"/>
      <c r="G352" s="94"/>
    </row>
    <row r="353" spans="3:7" x14ac:dyDescent="0.25">
      <c r="C353" s="76"/>
      <c r="D353" s="78"/>
      <c r="E353" s="78"/>
      <c r="F353" s="78"/>
      <c r="G353" s="94"/>
    </row>
    <row r="354" spans="3:7" x14ac:dyDescent="0.25">
      <c r="C354" s="76"/>
      <c r="D354" s="78"/>
      <c r="E354" s="78"/>
      <c r="F354" s="78"/>
      <c r="G354" s="94"/>
    </row>
    <row r="355" spans="3:7" ht="39.75" customHeight="1" x14ac:dyDescent="0.25">
      <c r="C355" s="76"/>
      <c r="D355" s="78"/>
      <c r="E355" s="78"/>
      <c r="F355" s="78"/>
      <c r="G355" s="94"/>
    </row>
    <row r="356" spans="3:7" x14ac:dyDescent="0.25">
      <c r="C356" s="76"/>
      <c r="D356" s="78"/>
      <c r="E356" s="78"/>
      <c r="F356" s="78"/>
      <c r="G356" s="94"/>
    </row>
    <row r="357" spans="3:7" x14ac:dyDescent="0.25">
      <c r="C357" s="76"/>
      <c r="D357" s="78"/>
      <c r="E357" s="78"/>
      <c r="F357" s="78"/>
      <c r="G357" s="94"/>
    </row>
    <row r="358" spans="3:7" x14ac:dyDescent="0.25">
      <c r="C358" s="76"/>
      <c r="D358" s="78"/>
      <c r="E358" s="78"/>
      <c r="F358" s="78"/>
      <c r="G358" s="94"/>
    </row>
    <row r="359" spans="3:7" x14ac:dyDescent="0.25">
      <c r="C359" s="76"/>
      <c r="D359" s="78"/>
      <c r="E359" s="78"/>
      <c r="F359" s="78"/>
      <c r="G359" s="94"/>
    </row>
    <row r="360" spans="3:7" x14ac:dyDescent="0.25">
      <c r="C360" s="76"/>
      <c r="D360" s="78"/>
      <c r="E360" s="78"/>
      <c r="F360" s="78"/>
      <c r="G360" s="94"/>
    </row>
    <row r="361" spans="3:7" x14ac:dyDescent="0.25">
      <c r="C361" s="76"/>
      <c r="D361" s="78"/>
      <c r="E361" s="78"/>
      <c r="F361" s="78"/>
      <c r="G361" s="94"/>
    </row>
    <row r="362" spans="3:7" x14ac:dyDescent="0.25">
      <c r="C362" s="76"/>
      <c r="D362" s="78"/>
      <c r="E362" s="78"/>
      <c r="F362" s="78"/>
      <c r="G362" s="94"/>
    </row>
    <row r="363" spans="3:7" x14ac:dyDescent="0.25">
      <c r="C363" s="76"/>
      <c r="D363" s="78"/>
      <c r="E363" s="78"/>
      <c r="F363" s="78"/>
      <c r="G363" s="94"/>
    </row>
    <row r="364" spans="3:7" x14ac:dyDescent="0.25">
      <c r="C364" s="76"/>
      <c r="D364" s="78"/>
      <c r="E364" s="78"/>
      <c r="F364" s="78"/>
      <c r="G364" s="94"/>
    </row>
    <row r="365" spans="3:7" x14ac:dyDescent="0.25">
      <c r="C365" s="76"/>
      <c r="D365" s="78"/>
      <c r="E365" s="78"/>
      <c r="F365" s="78"/>
      <c r="G365" s="94"/>
    </row>
    <row r="366" spans="3:7" x14ac:dyDescent="0.25">
      <c r="C366" s="76"/>
      <c r="D366" s="78"/>
      <c r="E366" s="78"/>
      <c r="F366" s="78"/>
      <c r="G366" s="94"/>
    </row>
    <row r="367" spans="3:7" x14ac:dyDescent="0.25">
      <c r="C367" s="76"/>
      <c r="D367" s="78"/>
      <c r="E367" s="78"/>
      <c r="F367" s="78"/>
      <c r="G367" s="94"/>
    </row>
    <row r="368" spans="3:7" x14ac:dyDescent="0.25">
      <c r="C368" s="76"/>
      <c r="D368" s="78"/>
      <c r="E368" s="78"/>
      <c r="F368" s="78"/>
      <c r="G368" s="94"/>
    </row>
    <row r="369" spans="3:7" x14ac:dyDescent="0.25">
      <c r="C369" s="76"/>
      <c r="D369" s="78"/>
      <c r="E369" s="78"/>
      <c r="F369" s="78"/>
      <c r="G369" s="94"/>
    </row>
    <row r="370" spans="3:7" x14ac:dyDescent="0.25">
      <c r="C370" s="76"/>
      <c r="D370" s="78"/>
      <c r="E370" s="78"/>
      <c r="F370" s="78"/>
      <c r="G370" s="94"/>
    </row>
    <row r="371" spans="3:7" x14ac:dyDescent="0.25">
      <c r="C371" s="76"/>
      <c r="D371" s="78"/>
      <c r="E371" s="78"/>
      <c r="F371" s="78"/>
      <c r="G371" s="94"/>
    </row>
    <row r="372" spans="3:7" x14ac:dyDescent="0.25">
      <c r="C372" s="76"/>
      <c r="D372" s="78"/>
      <c r="E372" s="78"/>
      <c r="F372" s="78"/>
      <c r="G372" s="94"/>
    </row>
    <row r="373" spans="3:7" x14ac:dyDescent="0.25">
      <c r="C373" s="76"/>
      <c r="D373" s="78"/>
      <c r="E373" s="78"/>
      <c r="F373" s="78"/>
      <c r="G373" s="94"/>
    </row>
    <row r="374" spans="3:7" x14ac:dyDescent="0.25">
      <c r="C374" s="76"/>
      <c r="D374" s="78"/>
      <c r="E374" s="78"/>
      <c r="F374" s="78"/>
      <c r="G374" s="94"/>
    </row>
    <row r="375" spans="3:7" x14ac:dyDescent="0.25">
      <c r="C375" s="76"/>
      <c r="D375" s="78"/>
      <c r="E375" s="78"/>
      <c r="F375" s="78"/>
      <c r="G375" s="94"/>
    </row>
    <row r="376" spans="3:7" x14ac:dyDescent="0.25">
      <c r="C376" s="76"/>
      <c r="D376" s="78"/>
      <c r="E376" s="78"/>
      <c r="F376" s="78"/>
      <c r="G376" s="94"/>
    </row>
    <row r="377" spans="3:7" x14ac:dyDescent="0.25">
      <c r="C377" s="76"/>
      <c r="D377" s="78"/>
      <c r="E377" s="78"/>
      <c r="F377" s="78"/>
      <c r="G377" s="94"/>
    </row>
    <row r="378" spans="3:7" x14ac:dyDescent="0.25">
      <c r="C378" s="76"/>
      <c r="D378" s="78"/>
      <c r="E378" s="78"/>
      <c r="F378" s="78"/>
      <c r="G378" s="94"/>
    </row>
    <row r="379" spans="3:7" x14ac:dyDescent="0.25">
      <c r="C379" s="76"/>
      <c r="D379" s="78"/>
      <c r="E379" s="78"/>
      <c r="F379" s="78"/>
      <c r="G379" s="94"/>
    </row>
    <row r="380" spans="3:7" x14ac:dyDescent="0.25">
      <c r="C380" s="76"/>
      <c r="D380" s="78"/>
      <c r="E380" s="78"/>
      <c r="F380" s="78"/>
      <c r="G380" s="94"/>
    </row>
    <row r="381" spans="3:7" x14ac:dyDescent="0.25">
      <c r="C381" s="76"/>
      <c r="D381" s="78"/>
      <c r="E381" s="78"/>
      <c r="F381" s="78"/>
      <c r="G381" s="94"/>
    </row>
    <row r="382" spans="3:7" x14ac:dyDescent="0.25">
      <c r="C382" s="76"/>
      <c r="D382" s="78"/>
      <c r="E382" s="78"/>
      <c r="F382" s="78"/>
      <c r="G382" s="94"/>
    </row>
    <row r="383" spans="3:7" x14ac:dyDescent="0.25">
      <c r="C383" s="76"/>
      <c r="D383" s="78"/>
      <c r="E383" s="78"/>
      <c r="F383" s="78"/>
      <c r="G383" s="94"/>
    </row>
    <row r="384" spans="3:7" x14ac:dyDescent="0.25">
      <c r="C384" s="76"/>
      <c r="D384" s="78"/>
      <c r="E384" s="78"/>
      <c r="F384" s="78"/>
      <c r="G384" s="94"/>
    </row>
    <row r="385" spans="3:7" x14ac:dyDescent="0.25">
      <c r="C385" s="76"/>
      <c r="D385" s="78"/>
      <c r="E385" s="78"/>
      <c r="F385" s="78"/>
      <c r="G385" s="94"/>
    </row>
    <row r="386" spans="3:7" x14ac:dyDescent="0.25">
      <c r="C386" s="76"/>
      <c r="D386" s="78"/>
      <c r="E386" s="78"/>
      <c r="F386" s="78"/>
      <c r="G386" s="94"/>
    </row>
    <row r="387" spans="3:7" x14ac:dyDescent="0.25">
      <c r="C387" s="76"/>
      <c r="D387" s="78"/>
      <c r="E387" s="78"/>
      <c r="F387" s="81"/>
      <c r="G387" s="94"/>
    </row>
    <row r="388" spans="3:7" x14ac:dyDescent="0.25">
      <c r="C388" s="76"/>
      <c r="D388" s="78"/>
      <c r="E388" s="78"/>
      <c r="F388" s="82"/>
      <c r="G388" s="94"/>
    </row>
    <row r="389" spans="3:7" x14ac:dyDescent="0.25">
      <c r="C389" s="76"/>
      <c r="D389" s="78"/>
      <c r="E389" s="78"/>
      <c r="F389" s="82"/>
      <c r="G389" s="94"/>
    </row>
    <row r="390" spans="3:7" x14ac:dyDescent="0.25">
      <c r="C390" s="76"/>
      <c r="D390" s="78"/>
      <c r="E390" s="78"/>
      <c r="F390" s="82"/>
      <c r="G390" s="94"/>
    </row>
    <row r="391" spans="3:7" x14ac:dyDescent="0.25">
      <c r="C391" s="76"/>
      <c r="D391" s="78"/>
      <c r="E391" s="78"/>
      <c r="F391" s="82"/>
      <c r="G391" s="94"/>
    </row>
    <row r="392" spans="3:7" x14ac:dyDescent="0.25">
      <c r="C392" s="76"/>
      <c r="D392" s="78"/>
      <c r="E392" s="78"/>
      <c r="F392" s="82"/>
      <c r="G392" s="94"/>
    </row>
    <row r="393" spans="3:7" x14ac:dyDescent="0.25">
      <c r="C393" s="76"/>
      <c r="D393" s="78"/>
      <c r="E393" s="78"/>
      <c r="F393" s="82"/>
      <c r="G393" s="94"/>
    </row>
    <row r="394" spans="3:7" x14ac:dyDescent="0.25">
      <c r="C394" s="76"/>
      <c r="D394" s="78"/>
      <c r="E394" s="78"/>
      <c r="F394" s="82"/>
      <c r="G394" s="94"/>
    </row>
    <row r="395" spans="3:7" x14ac:dyDescent="0.25">
      <c r="C395" s="76"/>
      <c r="D395" s="78"/>
      <c r="E395" s="78"/>
      <c r="F395" s="82"/>
      <c r="G395" s="94"/>
    </row>
    <row r="396" spans="3:7" x14ac:dyDescent="0.25">
      <c r="C396" s="76"/>
      <c r="D396" s="78"/>
      <c r="E396" s="78"/>
      <c r="F396" s="82"/>
      <c r="G396" s="94"/>
    </row>
    <row r="397" spans="3:7" ht="23.25" customHeight="1" x14ac:dyDescent="0.25">
      <c r="C397" s="76"/>
      <c r="D397" s="78"/>
      <c r="E397" s="78"/>
      <c r="F397" s="82"/>
      <c r="G397" s="94"/>
    </row>
    <row r="398" spans="3:7" x14ac:dyDescent="0.25">
      <c r="C398" s="76"/>
      <c r="D398" s="78"/>
      <c r="E398" s="78"/>
      <c r="F398" s="82"/>
      <c r="G398" s="94"/>
    </row>
    <row r="399" spans="3:7" x14ac:dyDescent="0.25">
      <c r="C399" s="76"/>
      <c r="D399" s="78"/>
      <c r="E399" s="78"/>
      <c r="F399" s="82"/>
      <c r="G399" s="94"/>
    </row>
    <row r="400" spans="3:7" x14ac:dyDescent="0.25">
      <c r="C400" s="76"/>
      <c r="D400" s="78"/>
      <c r="E400" s="78"/>
      <c r="F400" s="82"/>
      <c r="G400" s="94"/>
    </row>
    <row r="401" spans="3:7" x14ac:dyDescent="0.25">
      <c r="C401" s="76"/>
      <c r="D401" s="78"/>
      <c r="E401" s="78"/>
      <c r="F401" s="82"/>
      <c r="G401" s="94"/>
    </row>
    <row r="402" spans="3:7" x14ac:dyDescent="0.25">
      <c r="C402" s="76"/>
      <c r="D402" s="78"/>
      <c r="E402" s="78"/>
      <c r="F402" s="82"/>
      <c r="G402" s="94"/>
    </row>
    <row r="403" spans="3:7" x14ac:dyDescent="0.25">
      <c r="C403" s="76"/>
      <c r="D403" s="78"/>
      <c r="E403" s="78"/>
      <c r="F403" s="82"/>
      <c r="G403" s="94"/>
    </row>
    <row r="404" spans="3:7" x14ac:dyDescent="0.25">
      <c r="C404" s="76"/>
      <c r="D404" s="78"/>
      <c r="E404" s="78"/>
      <c r="F404" s="82"/>
      <c r="G404" s="94"/>
    </row>
    <row r="405" spans="3:7" x14ac:dyDescent="0.25">
      <c r="C405" s="76"/>
      <c r="D405" s="78"/>
      <c r="E405" s="78"/>
      <c r="F405" s="82"/>
      <c r="G405" s="94"/>
    </row>
    <row r="406" spans="3:7" x14ac:dyDescent="0.25">
      <c r="C406" s="76"/>
      <c r="D406" s="78"/>
      <c r="E406" s="78"/>
      <c r="F406" s="78"/>
      <c r="G406" s="94"/>
    </row>
    <row r="407" spans="3:7" x14ac:dyDescent="0.25">
      <c r="C407" s="76"/>
      <c r="D407" s="78"/>
      <c r="E407" s="78"/>
      <c r="F407" s="78"/>
      <c r="G407" s="94"/>
    </row>
    <row r="408" spans="3:7" x14ac:dyDescent="0.25">
      <c r="C408" s="76"/>
      <c r="D408" s="78"/>
      <c r="E408" s="78"/>
      <c r="F408" s="78"/>
      <c r="G408" s="94"/>
    </row>
    <row r="409" spans="3:7" x14ac:dyDescent="0.25">
      <c r="C409" s="76"/>
      <c r="D409" s="78"/>
      <c r="E409" s="78"/>
      <c r="F409" s="78"/>
      <c r="G409" s="94"/>
    </row>
    <row r="410" spans="3:7" x14ac:dyDescent="0.25">
      <c r="C410" s="76"/>
      <c r="D410" s="78"/>
      <c r="E410" s="78"/>
      <c r="F410" s="78"/>
      <c r="G410" s="94"/>
    </row>
    <row r="411" spans="3:7" x14ac:dyDescent="0.25">
      <c r="C411" s="76"/>
      <c r="D411" s="78"/>
      <c r="E411" s="78"/>
      <c r="F411" s="78"/>
      <c r="G411" s="94"/>
    </row>
    <row r="412" spans="3:7" x14ac:dyDescent="0.25">
      <c r="C412" s="76"/>
      <c r="D412" s="78"/>
      <c r="E412" s="78"/>
      <c r="F412" s="78"/>
      <c r="G412" s="94"/>
    </row>
    <row r="413" spans="3:7" x14ac:dyDescent="0.25">
      <c r="C413" s="76"/>
      <c r="D413" s="78"/>
      <c r="E413" s="78"/>
      <c r="F413" s="78"/>
      <c r="G413" s="94"/>
    </row>
    <row r="414" spans="3:7" ht="39.75" customHeight="1" x14ac:dyDescent="0.25">
      <c r="C414" s="76"/>
      <c r="D414" s="78"/>
      <c r="E414" s="78"/>
      <c r="F414" s="78"/>
      <c r="G414" s="94"/>
    </row>
    <row r="415" spans="3:7" x14ac:dyDescent="0.25">
      <c r="C415" s="76"/>
      <c r="D415" s="78"/>
      <c r="E415" s="78"/>
      <c r="F415" s="78"/>
      <c r="G415" s="94"/>
    </row>
    <row r="416" spans="3:7" x14ac:dyDescent="0.25">
      <c r="C416" s="76"/>
      <c r="D416" s="78"/>
      <c r="E416" s="78"/>
      <c r="F416" s="78"/>
      <c r="G416" s="94"/>
    </row>
    <row r="417" spans="3:7" x14ac:dyDescent="0.25">
      <c r="C417" s="76"/>
      <c r="D417" s="78"/>
      <c r="E417" s="78"/>
      <c r="F417" s="78"/>
      <c r="G417" s="94"/>
    </row>
    <row r="418" spans="3:7" x14ac:dyDescent="0.25">
      <c r="C418" s="76"/>
      <c r="D418" s="78"/>
      <c r="E418" s="78"/>
      <c r="F418" s="78"/>
      <c r="G418" s="94"/>
    </row>
    <row r="419" spans="3:7" x14ac:dyDescent="0.25">
      <c r="C419" s="76"/>
      <c r="D419" s="78"/>
      <c r="E419" s="78"/>
      <c r="F419" s="78"/>
      <c r="G419" s="94"/>
    </row>
    <row r="420" spans="3:7" x14ac:dyDescent="0.25">
      <c r="C420" s="76"/>
      <c r="D420" s="78"/>
      <c r="E420" s="78"/>
      <c r="F420" s="78"/>
      <c r="G420" s="94"/>
    </row>
    <row r="421" spans="3:7" x14ac:dyDescent="0.25">
      <c r="C421" s="76"/>
      <c r="D421" s="78"/>
      <c r="E421" s="78"/>
      <c r="F421" s="78"/>
      <c r="G421" s="94"/>
    </row>
    <row r="422" spans="3:7" x14ac:dyDescent="0.25">
      <c r="C422" s="76"/>
      <c r="D422" s="78"/>
      <c r="E422" s="78"/>
      <c r="F422" s="78"/>
      <c r="G422" s="94"/>
    </row>
    <row r="423" spans="3:7" x14ac:dyDescent="0.25">
      <c r="C423" s="76"/>
      <c r="D423" s="78"/>
      <c r="E423" s="78"/>
      <c r="F423" s="78"/>
      <c r="G423" s="94"/>
    </row>
    <row r="424" spans="3:7" x14ac:dyDescent="0.25">
      <c r="C424" s="76"/>
      <c r="D424" s="78"/>
      <c r="E424" s="78"/>
      <c r="F424" s="78"/>
      <c r="G424" s="94"/>
    </row>
    <row r="425" spans="3:7" x14ac:dyDescent="0.25">
      <c r="C425" s="76"/>
      <c r="D425" s="82"/>
      <c r="E425" s="82"/>
      <c r="F425" s="78"/>
      <c r="G425" s="94"/>
    </row>
    <row r="426" spans="3:7" x14ac:dyDescent="0.25">
      <c r="C426" s="76"/>
      <c r="D426" s="82"/>
      <c r="E426" s="82"/>
      <c r="F426" s="78"/>
      <c r="G426" s="94"/>
    </row>
    <row r="427" spans="3:7" ht="23.25" customHeight="1" x14ac:dyDescent="0.25">
      <c r="C427" s="76"/>
      <c r="D427" s="82"/>
      <c r="E427" s="82"/>
      <c r="F427" s="78"/>
      <c r="G427" s="94"/>
    </row>
    <row r="428" spans="3:7" x14ac:dyDescent="0.25">
      <c r="C428" s="76"/>
      <c r="D428" s="82"/>
      <c r="E428" s="82"/>
      <c r="F428" s="78"/>
      <c r="G428" s="94"/>
    </row>
    <row r="429" spans="3:7" x14ac:dyDescent="0.25">
      <c r="C429" s="76"/>
      <c r="D429" s="82"/>
      <c r="E429" s="82"/>
      <c r="F429" s="78"/>
      <c r="G429" s="94"/>
    </row>
    <row r="430" spans="3:7" x14ac:dyDescent="0.25">
      <c r="C430" s="76"/>
      <c r="D430" s="82"/>
      <c r="E430" s="82"/>
      <c r="F430" s="78"/>
      <c r="G430" s="94"/>
    </row>
    <row r="431" spans="3:7" x14ac:dyDescent="0.25">
      <c r="C431" s="76"/>
      <c r="D431" s="82"/>
      <c r="E431" s="82"/>
      <c r="F431" s="78"/>
      <c r="G431" s="94"/>
    </row>
    <row r="432" spans="3:7" x14ac:dyDescent="0.25">
      <c r="C432" s="76"/>
      <c r="D432" s="82"/>
      <c r="E432" s="82"/>
      <c r="F432" s="78"/>
      <c r="G432" s="94"/>
    </row>
    <row r="433" spans="3:7" x14ac:dyDescent="0.25">
      <c r="C433" s="76"/>
      <c r="D433" s="82"/>
      <c r="E433" s="82"/>
      <c r="F433" s="78"/>
      <c r="G433" s="94"/>
    </row>
    <row r="434" spans="3:7" x14ac:dyDescent="0.25">
      <c r="C434" s="76"/>
      <c r="D434" s="82"/>
      <c r="E434" s="82"/>
      <c r="F434" s="78"/>
      <c r="G434" s="94"/>
    </row>
    <row r="435" spans="3:7" x14ac:dyDescent="0.25">
      <c r="C435" s="76"/>
      <c r="D435" s="82"/>
      <c r="E435" s="82"/>
      <c r="F435" s="78"/>
      <c r="G435" s="94"/>
    </row>
    <row r="436" spans="3:7" x14ac:dyDescent="0.25">
      <c r="C436" s="76"/>
      <c r="D436" s="82"/>
      <c r="E436" s="82"/>
      <c r="F436" s="78"/>
      <c r="G436" s="94"/>
    </row>
    <row r="437" spans="3:7" x14ac:dyDescent="0.25">
      <c r="C437" s="76"/>
      <c r="D437" s="82"/>
      <c r="E437" s="82"/>
      <c r="F437" s="78"/>
      <c r="G437" s="94"/>
    </row>
    <row r="438" spans="3:7" x14ac:dyDescent="0.25">
      <c r="C438" s="76"/>
      <c r="D438" s="82"/>
      <c r="E438" s="82"/>
      <c r="F438" s="78"/>
      <c r="G438" s="94"/>
    </row>
    <row r="439" spans="3:7" x14ac:dyDescent="0.25">
      <c r="C439" s="76"/>
      <c r="D439" s="82"/>
      <c r="E439" s="82"/>
      <c r="F439" s="78"/>
      <c r="G439" s="94"/>
    </row>
    <row r="440" spans="3:7" x14ac:dyDescent="0.25">
      <c r="C440" s="76"/>
      <c r="D440" s="82"/>
      <c r="E440" s="82"/>
      <c r="F440" s="78"/>
      <c r="G440" s="94"/>
    </row>
    <row r="441" spans="3:7" x14ac:dyDescent="0.25">
      <c r="C441" s="76"/>
      <c r="D441" s="82"/>
      <c r="E441" s="82"/>
      <c r="F441" s="78"/>
      <c r="G441" s="94"/>
    </row>
    <row r="442" spans="3:7" x14ac:dyDescent="0.25">
      <c r="C442" s="76"/>
      <c r="D442" s="82"/>
      <c r="E442" s="82"/>
      <c r="F442" s="78"/>
      <c r="G442" s="94"/>
    </row>
    <row r="443" spans="3:7" x14ac:dyDescent="0.25">
      <c r="C443" s="76"/>
      <c r="D443" s="82"/>
      <c r="E443" s="82"/>
      <c r="F443" s="78"/>
      <c r="G443" s="94"/>
    </row>
    <row r="444" spans="3:7" x14ac:dyDescent="0.25">
      <c r="C444" s="76"/>
      <c r="D444" s="82"/>
      <c r="E444" s="82"/>
      <c r="F444" s="78"/>
      <c r="G444" s="94"/>
    </row>
    <row r="445" spans="3:7" x14ac:dyDescent="0.25">
      <c r="C445" s="76"/>
      <c r="D445" s="82"/>
      <c r="E445" s="82"/>
      <c r="F445" s="78"/>
      <c r="G445" s="94"/>
    </row>
    <row r="446" spans="3:7" x14ac:dyDescent="0.25">
      <c r="C446" s="76"/>
      <c r="D446" s="82"/>
      <c r="E446" s="82"/>
      <c r="F446" s="78"/>
      <c r="G446" s="94"/>
    </row>
    <row r="447" spans="3:7" x14ac:dyDescent="0.25">
      <c r="C447" s="76"/>
      <c r="D447" s="82"/>
      <c r="E447" s="82"/>
      <c r="F447" s="78"/>
      <c r="G447" s="94"/>
    </row>
    <row r="448" spans="3:7" x14ac:dyDescent="0.25">
      <c r="C448" s="76"/>
      <c r="D448" s="82"/>
      <c r="E448" s="82"/>
      <c r="F448" s="78"/>
      <c r="G448" s="94"/>
    </row>
    <row r="449" spans="3:7" x14ac:dyDescent="0.25">
      <c r="C449" s="76"/>
      <c r="D449" s="82"/>
      <c r="E449" s="82"/>
      <c r="F449" s="78"/>
      <c r="G449" s="94"/>
    </row>
    <row r="450" spans="3:7" x14ac:dyDescent="0.25">
      <c r="C450" s="76"/>
      <c r="D450" s="82"/>
      <c r="E450" s="82"/>
      <c r="F450" s="78"/>
      <c r="G450" s="94"/>
    </row>
    <row r="451" spans="3:7" x14ac:dyDescent="0.25">
      <c r="C451" s="76"/>
      <c r="D451" s="82"/>
      <c r="E451" s="82"/>
      <c r="F451" s="78"/>
      <c r="G451" s="94"/>
    </row>
    <row r="452" spans="3:7" x14ac:dyDescent="0.25">
      <c r="C452" s="76"/>
      <c r="D452" s="82"/>
      <c r="E452" s="82"/>
      <c r="F452" s="78"/>
      <c r="G452" s="94"/>
    </row>
    <row r="453" spans="3:7" x14ac:dyDescent="0.25">
      <c r="C453" s="76"/>
      <c r="D453" s="82"/>
      <c r="E453" s="82"/>
      <c r="F453" s="78"/>
      <c r="G453" s="94"/>
    </row>
    <row r="454" spans="3:7" x14ac:dyDescent="0.25">
      <c r="C454" s="76"/>
      <c r="D454" s="82"/>
      <c r="E454" s="82"/>
      <c r="F454" s="78"/>
      <c r="G454" s="94"/>
    </row>
    <row r="455" spans="3:7" x14ac:dyDescent="0.25">
      <c r="C455" s="76"/>
      <c r="D455" s="82"/>
      <c r="E455" s="82"/>
      <c r="F455" s="78"/>
      <c r="G455" s="94"/>
    </row>
    <row r="456" spans="3:7" x14ac:dyDescent="0.25">
      <c r="C456" s="76"/>
      <c r="D456" s="78"/>
      <c r="E456" s="78"/>
      <c r="F456" s="78"/>
      <c r="G456" s="94"/>
    </row>
    <row r="457" spans="3:7" x14ac:dyDescent="0.25">
      <c r="C457" s="76"/>
      <c r="D457" s="78"/>
      <c r="E457" s="78"/>
      <c r="F457" s="78"/>
      <c r="G457" s="94"/>
    </row>
    <row r="458" spans="3:7" x14ac:dyDescent="0.25">
      <c r="C458" s="76"/>
      <c r="D458" s="78"/>
      <c r="E458" s="78"/>
      <c r="F458" s="78"/>
      <c r="G458" s="94"/>
    </row>
    <row r="459" spans="3:7" x14ac:dyDescent="0.25">
      <c r="C459" s="76"/>
      <c r="D459" s="78"/>
      <c r="E459" s="78"/>
      <c r="F459" s="78"/>
      <c r="G459" s="94"/>
    </row>
    <row r="460" spans="3:7" x14ac:dyDescent="0.25">
      <c r="C460" s="76"/>
      <c r="D460" s="78"/>
      <c r="E460" s="78"/>
      <c r="F460" s="78"/>
      <c r="G460" s="94"/>
    </row>
    <row r="461" spans="3:7" x14ac:dyDescent="0.25">
      <c r="C461" s="76"/>
      <c r="D461" s="78"/>
      <c r="E461" s="78"/>
      <c r="F461" s="78"/>
      <c r="G461" s="94"/>
    </row>
    <row r="462" spans="3:7" x14ac:dyDescent="0.25">
      <c r="C462" s="76"/>
      <c r="D462" s="78"/>
      <c r="E462" s="78"/>
      <c r="F462" s="78"/>
      <c r="G462" s="94"/>
    </row>
    <row r="463" spans="3:7" x14ac:dyDescent="0.25">
      <c r="C463" s="76"/>
      <c r="D463" s="78"/>
      <c r="E463" s="78"/>
      <c r="F463" s="78"/>
      <c r="G463" s="94"/>
    </row>
    <row r="464" spans="3:7" x14ac:dyDescent="0.25">
      <c r="C464" s="76"/>
      <c r="D464" s="78"/>
      <c r="E464" s="78"/>
      <c r="F464" s="78"/>
      <c r="G464" s="94"/>
    </row>
    <row r="465" spans="3:7" x14ac:dyDescent="0.25">
      <c r="C465" s="76"/>
      <c r="D465" s="78"/>
      <c r="E465" s="78"/>
      <c r="F465" s="78"/>
      <c r="G465" s="94"/>
    </row>
    <row r="466" spans="3:7" x14ac:dyDescent="0.25">
      <c r="C466" s="76"/>
      <c r="D466" s="78"/>
      <c r="E466" s="78"/>
      <c r="F466" s="78"/>
      <c r="G466" s="94"/>
    </row>
    <row r="467" spans="3:7" x14ac:dyDescent="0.25">
      <c r="C467" s="76"/>
      <c r="D467" s="78"/>
      <c r="E467" s="78"/>
      <c r="F467" s="78"/>
      <c r="G467" s="94"/>
    </row>
    <row r="468" spans="3:7" x14ac:dyDescent="0.25">
      <c r="C468" s="76"/>
      <c r="D468" s="78"/>
      <c r="E468" s="78"/>
      <c r="F468" s="78"/>
      <c r="G468" s="94"/>
    </row>
    <row r="469" spans="3:7" x14ac:dyDescent="0.25">
      <c r="C469" s="76"/>
      <c r="D469" s="78"/>
      <c r="E469" s="78"/>
      <c r="F469" s="78"/>
      <c r="G469" s="94"/>
    </row>
    <row r="470" spans="3:7" x14ac:dyDescent="0.25">
      <c r="C470" s="76"/>
      <c r="D470" s="78"/>
      <c r="E470" s="78"/>
      <c r="F470" s="78"/>
      <c r="G470" s="94"/>
    </row>
    <row r="471" spans="3:7" ht="39.75" customHeight="1" x14ac:dyDescent="0.25">
      <c r="C471" s="76"/>
      <c r="D471" s="78"/>
      <c r="E471" s="78"/>
      <c r="F471" s="78"/>
      <c r="G471" s="94"/>
    </row>
    <row r="472" spans="3:7" x14ac:dyDescent="0.25">
      <c r="C472" s="76"/>
      <c r="D472" s="78"/>
      <c r="E472" s="78"/>
      <c r="F472" s="78"/>
      <c r="G472" s="94"/>
    </row>
    <row r="473" spans="3:7" x14ac:dyDescent="0.25">
      <c r="C473" s="76"/>
      <c r="D473" s="78"/>
      <c r="E473" s="78"/>
      <c r="F473" s="78"/>
      <c r="G473" s="94"/>
    </row>
    <row r="474" spans="3:7" x14ac:dyDescent="0.25">
      <c r="C474" s="76"/>
      <c r="D474" s="78"/>
      <c r="E474" s="78"/>
      <c r="F474" s="78"/>
      <c r="G474" s="94"/>
    </row>
    <row r="475" spans="3:7" x14ac:dyDescent="0.25">
      <c r="C475" s="76"/>
      <c r="D475" s="78"/>
      <c r="E475" s="78"/>
      <c r="F475" s="78"/>
      <c r="G475" s="94"/>
    </row>
    <row r="476" spans="3:7" x14ac:dyDescent="0.25">
      <c r="C476" s="76"/>
      <c r="D476" s="78"/>
      <c r="E476" s="78"/>
      <c r="F476" s="78"/>
      <c r="G476" s="94"/>
    </row>
    <row r="477" spans="3:7" x14ac:dyDescent="0.25">
      <c r="C477" s="76"/>
      <c r="D477" s="78"/>
      <c r="E477" s="78"/>
      <c r="F477" s="78"/>
      <c r="G477" s="94"/>
    </row>
    <row r="478" spans="3:7" x14ac:dyDescent="0.25">
      <c r="C478" s="76"/>
      <c r="D478" s="78"/>
      <c r="E478" s="78"/>
      <c r="F478" s="78"/>
      <c r="G478" s="94"/>
    </row>
    <row r="479" spans="3:7" x14ac:dyDescent="0.25">
      <c r="C479" s="76"/>
      <c r="D479" s="78"/>
      <c r="E479" s="78"/>
      <c r="F479" s="78"/>
      <c r="G479" s="94"/>
    </row>
    <row r="480" spans="3:7" x14ac:dyDescent="0.25">
      <c r="C480" s="76"/>
      <c r="D480" s="78"/>
      <c r="E480" s="78"/>
      <c r="F480" s="78"/>
      <c r="G480" s="94"/>
    </row>
    <row r="481" spans="3:7" x14ac:dyDescent="0.25">
      <c r="C481" s="76"/>
      <c r="D481" s="78"/>
      <c r="E481" s="78"/>
      <c r="F481" s="78"/>
      <c r="G481" s="94"/>
    </row>
    <row r="482" spans="3:7" x14ac:dyDescent="0.25">
      <c r="C482" s="76"/>
      <c r="D482" s="78"/>
      <c r="E482" s="78"/>
      <c r="F482" s="78"/>
      <c r="G482" s="94"/>
    </row>
    <row r="483" spans="3:7" x14ac:dyDescent="0.25">
      <c r="C483" s="76"/>
      <c r="D483" s="78"/>
      <c r="E483" s="78"/>
      <c r="F483" s="78"/>
      <c r="G483" s="94"/>
    </row>
    <row r="484" spans="3:7" x14ac:dyDescent="0.25">
      <c r="C484" s="76"/>
      <c r="D484" s="78"/>
      <c r="E484" s="78"/>
      <c r="F484" s="78"/>
      <c r="G484" s="94"/>
    </row>
    <row r="485" spans="3:7" x14ac:dyDescent="0.25">
      <c r="C485" s="76"/>
      <c r="D485" s="78"/>
      <c r="E485" s="78"/>
      <c r="F485" s="78"/>
      <c r="G485" s="94"/>
    </row>
    <row r="486" spans="3:7" x14ac:dyDescent="0.25">
      <c r="C486" s="76"/>
      <c r="D486" s="78"/>
      <c r="E486" s="78"/>
      <c r="F486" s="78"/>
      <c r="G486" s="94"/>
    </row>
    <row r="487" spans="3:7" x14ac:dyDescent="0.25">
      <c r="C487" s="76"/>
      <c r="D487" s="78"/>
      <c r="E487" s="78"/>
      <c r="F487" s="78"/>
      <c r="G487" s="94"/>
    </row>
    <row r="488" spans="3:7" x14ac:dyDescent="0.25">
      <c r="C488" s="76"/>
      <c r="D488" s="78"/>
      <c r="E488" s="78"/>
      <c r="F488" s="78"/>
      <c r="G488" s="94"/>
    </row>
    <row r="489" spans="3:7" x14ac:dyDescent="0.25">
      <c r="C489" s="76"/>
      <c r="D489" s="78"/>
      <c r="E489" s="78"/>
      <c r="F489" s="78"/>
      <c r="G489" s="94"/>
    </row>
    <row r="490" spans="3:7" x14ac:dyDescent="0.25">
      <c r="C490" s="76"/>
      <c r="D490" s="78"/>
      <c r="E490" s="78"/>
      <c r="F490" s="78"/>
      <c r="G490" s="94"/>
    </row>
    <row r="491" spans="3:7" x14ac:dyDescent="0.25">
      <c r="C491" s="76"/>
      <c r="D491" s="78"/>
      <c r="E491" s="78"/>
      <c r="F491" s="78"/>
      <c r="G491" s="94"/>
    </row>
    <row r="492" spans="3:7" ht="36" customHeight="1" x14ac:dyDescent="0.25">
      <c r="C492" s="76"/>
      <c r="D492" s="78"/>
      <c r="E492" s="78"/>
      <c r="F492" s="78"/>
      <c r="G492" s="94"/>
    </row>
    <row r="493" spans="3:7" x14ac:dyDescent="0.25">
      <c r="C493" s="76"/>
      <c r="D493" s="78"/>
      <c r="E493" s="78"/>
      <c r="F493" s="78"/>
      <c r="G493" s="94"/>
    </row>
    <row r="494" spans="3:7" ht="23.25" customHeight="1" x14ac:dyDescent="0.25">
      <c r="C494" s="76"/>
      <c r="D494" s="78"/>
      <c r="E494" s="78"/>
      <c r="F494" s="78"/>
      <c r="G494" s="94"/>
    </row>
    <row r="495" spans="3:7" ht="23.25" customHeight="1" x14ac:dyDescent="0.25">
      <c r="C495" s="83"/>
      <c r="D495" s="84"/>
      <c r="E495" s="84"/>
      <c r="F495" s="84"/>
      <c r="G495" s="94"/>
    </row>
    <row r="496" spans="3:7" ht="23.25" customHeight="1" x14ac:dyDescent="0.25">
      <c r="C496" s="83"/>
      <c r="D496" s="84"/>
      <c r="E496" s="84"/>
      <c r="F496" s="84"/>
      <c r="G496" s="94"/>
    </row>
    <row r="497" spans="3:7" ht="23.25" customHeight="1" x14ac:dyDescent="0.25">
      <c r="C497" s="83"/>
      <c r="D497" s="84"/>
      <c r="E497" s="84"/>
      <c r="F497" s="84"/>
      <c r="G497" s="94"/>
    </row>
    <row r="498" spans="3:7" ht="23.25" customHeight="1" x14ac:dyDescent="0.25">
      <c r="C498" s="83"/>
      <c r="D498" s="84"/>
      <c r="E498" s="84"/>
      <c r="F498" s="84"/>
      <c r="G498" s="94"/>
    </row>
    <row r="499" spans="3:7" ht="33.75" customHeight="1" x14ac:dyDescent="0.25">
      <c r="C499" s="83"/>
      <c r="D499" s="84"/>
      <c r="E499" s="84"/>
      <c r="F499" s="84"/>
      <c r="G499" s="94"/>
    </row>
    <row r="500" spans="3:7" ht="35.25" customHeight="1" x14ac:dyDescent="0.25">
      <c r="C500" s="83"/>
      <c r="D500" s="84"/>
      <c r="E500" s="84"/>
      <c r="F500" s="84"/>
      <c r="G500" s="94"/>
    </row>
    <row r="501" spans="3:7" ht="35.25" customHeight="1" x14ac:dyDescent="0.25">
      <c r="C501" s="83"/>
      <c r="D501" s="84"/>
      <c r="E501" s="84"/>
      <c r="F501" s="84"/>
      <c r="G501" s="94"/>
    </row>
    <row r="502" spans="3:7" ht="23.25" customHeight="1" x14ac:dyDescent="0.25">
      <c r="C502" s="83"/>
      <c r="D502" s="84"/>
      <c r="E502" s="84"/>
      <c r="F502" s="84"/>
      <c r="G502" s="94"/>
    </row>
    <row r="503" spans="3:7" ht="23.25" customHeight="1" x14ac:dyDescent="0.25">
      <c r="C503" s="83"/>
      <c r="D503" s="84"/>
      <c r="E503" s="84"/>
      <c r="F503" s="84"/>
      <c r="G503" s="94"/>
    </row>
    <row r="504" spans="3:7" ht="23.25" customHeight="1" x14ac:dyDescent="0.25">
      <c r="C504" s="83"/>
      <c r="D504" s="84"/>
      <c r="E504" s="84"/>
      <c r="F504" s="84"/>
      <c r="G504" s="94"/>
    </row>
    <row r="505" spans="3:7" ht="23.25" customHeight="1" x14ac:dyDescent="0.25">
      <c r="C505" s="83"/>
      <c r="D505" s="84"/>
      <c r="E505" s="84"/>
      <c r="F505" s="84"/>
      <c r="G505" s="94"/>
    </row>
    <row r="506" spans="3:7" ht="23.25" customHeight="1" x14ac:dyDescent="0.25">
      <c r="C506" s="83"/>
      <c r="D506" s="84"/>
      <c r="E506" s="84"/>
      <c r="F506" s="84"/>
      <c r="G506" s="94"/>
    </row>
    <row r="507" spans="3:7" ht="23.25" customHeight="1" x14ac:dyDescent="0.25">
      <c r="C507" s="83"/>
      <c r="D507" s="84"/>
      <c r="E507" s="84"/>
      <c r="F507" s="84"/>
      <c r="G507" s="94"/>
    </row>
    <row r="508" spans="3:7" ht="23.25" customHeight="1" x14ac:dyDescent="0.25">
      <c r="C508" s="83"/>
      <c r="D508" s="84"/>
      <c r="E508" s="84"/>
      <c r="F508" s="84"/>
      <c r="G508" s="94"/>
    </row>
    <row r="509" spans="3:7" ht="23.25" customHeight="1" x14ac:dyDescent="0.25">
      <c r="C509" s="83"/>
      <c r="D509" s="84"/>
      <c r="E509" s="84"/>
      <c r="F509" s="84"/>
      <c r="G509" s="94"/>
    </row>
    <row r="510" spans="3:7" ht="23.25" customHeight="1" x14ac:dyDescent="0.25">
      <c r="C510" s="83"/>
      <c r="D510" s="84"/>
      <c r="E510" s="84"/>
      <c r="F510" s="84"/>
      <c r="G510" s="94"/>
    </row>
    <row r="511" spans="3:7" ht="23.25" customHeight="1" x14ac:dyDescent="0.25">
      <c r="C511" s="83"/>
      <c r="D511" s="84"/>
      <c r="E511" s="84"/>
      <c r="F511" s="84"/>
      <c r="G511" s="94"/>
    </row>
    <row r="512" spans="3:7" ht="23.25" customHeight="1" x14ac:dyDescent="0.25">
      <c r="C512" s="83"/>
      <c r="D512" s="84"/>
      <c r="E512" s="84"/>
      <c r="F512" s="84"/>
      <c r="G512" s="94"/>
    </row>
    <row r="513" spans="3:7" ht="23.25" customHeight="1" x14ac:dyDescent="0.25">
      <c r="C513" s="83"/>
      <c r="D513" s="84"/>
      <c r="E513" s="84"/>
      <c r="F513" s="84"/>
      <c r="G513" s="94"/>
    </row>
    <row r="514" spans="3:7" ht="23.25" customHeight="1" x14ac:dyDescent="0.25">
      <c r="C514" s="83"/>
      <c r="D514" s="84"/>
      <c r="E514" s="84"/>
      <c r="F514" s="84"/>
      <c r="G514" s="94"/>
    </row>
    <row r="515" spans="3:7" ht="23.25" customHeight="1" x14ac:dyDescent="0.25">
      <c r="C515" s="83"/>
      <c r="D515" s="84"/>
      <c r="E515" s="84"/>
      <c r="F515" s="84"/>
      <c r="G515" s="94"/>
    </row>
    <row r="516" spans="3:7" ht="23.25" customHeight="1" x14ac:dyDescent="0.25">
      <c r="C516" s="83"/>
      <c r="D516" s="84"/>
      <c r="E516" s="84"/>
      <c r="F516" s="84"/>
      <c r="G516" s="94"/>
    </row>
    <row r="517" spans="3:7" ht="23.25" customHeight="1" x14ac:dyDescent="0.25">
      <c r="C517" s="83"/>
      <c r="D517" s="84"/>
      <c r="E517" s="84"/>
      <c r="F517" s="84"/>
      <c r="G517" s="94"/>
    </row>
    <row r="518" spans="3:7" ht="23.25" customHeight="1" x14ac:dyDescent="0.25">
      <c r="C518" s="83"/>
      <c r="D518" s="84"/>
      <c r="E518" s="84"/>
      <c r="F518" s="84"/>
      <c r="G518" s="94"/>
    </row>
    <row r="519" spans="3:7" ht="23.25" customHeight="1" x14ac:dyDescent="0.25">
      <c r="C519" s="83"/>
      <c r="D519" s="84"/>
      <c r="E519" s="84"/>
      <c r="F519" s="84"/>
      <c r="G519" s="94"/>
    </row>
    <row r="520" spans="3:7" ht="23.25" customHeight="1" x14ac:dyDescent="0.25">
      <c r="C520" s="83"/>
      <c r="D520" s="84"/>
      <c r="E520" s="84"/>
      <c r="F520" s="84"/>
      <c r="G520" s="94"/>
    </row>
    <row r="521" spans="3:7" ht="23.25" customHeight="1" x14ac:dyDescent="0.25">
      <c r="C521" s="83"/>
      <c r="D521" s="84"/>
      <c r="E521" s="84"/>
      <c r="F521" s="84"/>
      <c r="G521" s="94"/>
    </row>
    <row r="522" spans="3:7" ht="23.25" customHeight="1" x14ac:dyDescent="0.25">
      <c r="C522" s="83"/>
      <c r="D522" s="84"/>
      <c r="E522" s="84"/>
      <c r="F522" s="84"/>
      <c r="G522" s="94"/>
    </row>
    <row r="523" spans="3:7" ht="23.25" customHeight="1" x14ac:dyDescent="0.25">
      <c r="C523" s="83"/>
      <c r="D523" s="84"/>
      <c r="E523" s="84"/>
      <c r="F523" s="84"/>
      <c r="G523" s="94"/>
    </row>
    <row r="524" spans="3:7" ht="23.25" customHeight="1" x14ac:dyDescent="0.25">
      <c r="C524" s="83"/>
      <c r="D524" s="84"/>
      <c r="E524" s="84"/>
      <c r="F524" s="84"/>
      <c r="G524" s="94"/>
    </row>
    <row r="525" spans="3:7" ht="23.25" customHeight="1" x14ac:dyDescent="0.25">
      <c r="C525" s="83"/>
      <c r="D525" s="84"/>
      <c r="E525" s="84"/>
      <c r="F525" s="84"/>
      <c r="G525" s="94"/>
    </row>
    <row r="526" spans="3:7" ht="23.25" customHeight="1" x14ac:dyDescent="0.25">
      <c r="C526" s="83"/>
      <c r="D526" s="84"/>
      <c r="E526" s="84"/>
      <c r="F526" s="84"/>
      <c r="G526" s="94"/>
    </row>
    <row r="527" spans="3:7" ht="23.25" customHeight="1" x14ac:dyDescent="0.25">
      <c r="C527" s="83"/>
      <c r="D527" s="84"/>
      <c r="E527" s="84"/>
      <c r="F527" s="84"/>
      <c r="G527" s="94"/>
    </row>
    <row r="528" spans="3:7" ht="23.25" customHeight="1" x14ac:dyDescent="0.25">
      <c r="C528" s="83"/>
      <c r="D528" s="84"/>
      <c r="E528" s="84"/>
      <c r="F528" s="84"/>
      <c r="G528" s="94"/>
    </row>
    <row r="529" spans="3:7" ht="23.25" customHeight="1" x14ac:dyDescent="0.25">
      <c r="C529" s="83"/>
      <c r="D529" s="84"/>
      <c r="E529" s="84"/>
      <c r="F529" s="84"/>
      <c r="G529" s="94"/>
    </row>
    <row r="530" spans="3:7" ht="23.25" customHeight="1" x14ac:dyDescent="0.25">
      <c r="C530" s="83"/>
      <c r="D530" s="84"/>
      <c r="E530" s="84"/>
      <c r="F530" s="84"/>
      <c r="G530" s="94"/>
    </row>
    <row r="531" spans="3:7" ht="23.25" customHeight="1" x14ac:dyDescent="0.25">
      <c r="C531" s="83"/>
      <c r="D531" s="84"/>
      <c r="E531" s="84"/>
      <c r="F531" s="84"/>
      <c r="G531" s="94"/>
    </row>
    <row r="532" spans="3:7" ht="23.25" customHeight="1" x14ac:dyDescent="0.25">
      <c r="C532" s="83"/>
      <c r="D532" s="84"/>
      <c r="E532" s="84"/>
      <c r="F532" s="84"/>
      <c r="G532" s="94"/>
    </row>
    <row r="533" spans="3:7" ht="23.25" customHeight="1" x14ac:dyDescent="0.25">
      <c r="C533" s="83"/>
      <c r="D533" s="84"/>
      <c r="E533" s="84"/>
      <c r="F533" s="84"/>
      <c r="G533" s="94"/>
    </row>
    <row r="534" spans="3:7" ht="23.25" customHeight="1" x14ac:dyDescent="0.25">
      <c r="C534" s="83"/>
      <c r="D534" s="84"/>
      <c r="E534" s="84"/>
      <c r="F534" s="84"/>
      <c r="G534" s="94"/>
    </row>
    <row r="535" spans="3:7" ht="23.25" customHeight="1" x14ac:dyDescent="0.25">
      <c r="C535" s="83"/>
      <c r="D535" s="84"/>
      <c r="E535" s="84"/>
      <c r="F535" s="84"/>
      <c r="G535" s="94"/>
    </row>
    <row r="536" spans="3:7" ht="23.25" customHeight="1" x14ac:dyDescent="0.25">
      <c r="C536" s="83"/>
      <c r="D536" s="84"/>
      <c r="E536" s="84"/>
      <c r="F536" s="84"/>
      <c r="G536" s="94"/>
    </row>
    <row r="537" spans="3:7" ht="23.25" customHeight="1" x14ac:dyDescent="0.25">
      <c r="C537" s="83"/>
      <c r="D537" s="84"/>
      <c r="E537" s="84"/>
      <c r="F537" s="84"/>
      <c r="G537" s="94"/>
    </row>
    <row r="538" spans="3:7" ht="23.25" customHeight="1" x14ac:dyDescent="0.25">
      <c r="C538" s="83"/>
      <c r="D538" s="84"/>
      <c r="E538" s="84"/>
      <c r="F538" s="84"/>
      <c r="G538" s="94"/>
    </row>
    <row r="539" spans="3:7" ht="23.25" customHeight="1" x14ac:dyDescent="0.25">
      <c r="C539" s="83"/>
      <c r="D539" s="84"/>
      <c r="E539" s="84"/>
      <c r="F539" s="84"/>
      <c r="G539" s="94"/>
    </row>
    <row r="540" spans="3:7" ht="23.25" customHeight="1" x14ac:dyDescent="0.25">
      <c r="C540" s="83"/>
      <c r="D540" s="84"/>
      <c r="E540" s="84"/>
      <c r="F540" s="84"/>
      <c r="G540" s="94"/>
    </row>
    <row r="541" spans="3:7" ht="23.25" customHeight="1" x14ac:dyDescent="0.25">
      <c r="C541" s="83"/>
      <c r="D541" s="84"/>
      <c r="E541" s="84"/>
      <c r="F541" s="84"/>
      <c r="G541" s="94"/>
    </row>
    <row r="542" spans="3:7" ht="23.25" customHeight="1" x14ac:dyDescent="0.25">
      <c r="C542" s="83"/>
      <c r="D542" s="84"/>
      <c r="E542" s="84"/>
      <c r="F542" s="84"/>
      <c r="G542" s="94"/>
    </row>
    <row r="543" spans="3:7" ht="23.25" customHeight="1" x14ac:dyDescent="0.25">
      <c r="C543" s="83"/>
      <c r="D543" s="84"/>
      <c r="E543" s="84"/>
      <c r="F543" s="84"/>
      <c r="G543" s="94"/>
    </row>
    <row r="544" spans="3:7" ht="23.25" customHeight="1" x14ac:dyDescent="0.25">
      <c r="C544" s="83"/>
      <c r="D544" s="84"/>
      <c r="E544" s="84"/>
      <c r="F544" s="84"/>
      <c r="G544" s="94"/>
    </row>
    <row r="545" spans="3:7" ht="23.25" customHeight="1" x14ac:dyDescent="0.25">
      <c r="C545" s="83"/>
      <c r="D545" s="84"/>
      <c r="E545" s="84"/>
      <c r="F545" s="84"/>
      <c r="G545" s="94"/>
    </row>
    <row r="546" spans="3:7" ht="23.25" customHeight="1" x14ac:dyDescent="0.25">
      <c r="C546" s="83"/>
      <c r="D546" s="84"/>
      <c r="E546" s="84"/>
      <c r="F546" s="84"/>
      <c r="G546" s="94"/>
    </row>
    <row r="547" spans="3:7" ht="23.25" customHeight="1" x14ac:dyDescent="0.25">
      <c r="C547" s="83"/>
      <c r="D547" s="84"/>
      <c r="E547" s="84"/>
      <c r="F547" s="84"/>
      <c r="G547" s="94"/>
    </row>
    <row r="548" spans="3:7" ht="23.25" customHeight="1" x14ac:dyDescent="0.25">
      <c r="C548" s="83"/>
      <c r="D548" s="84"/>
      <c r="E548" s="84"/>
      <c r="F548" s="84"/>
      <c r="G548" s="94"/>
    </row>
    <row r="549" spans="3:7" ht="23.25" customHeight="1" x14ac:dyDescent="0.25">
      <c r="C549" s="83"/>
      <c r="D549" s="84"/>
      <c r="E549" s="84"/>
      <c r="F549" s="84"/>
      <c r="G549" s="94"/>
    </row>
    <row r="550" spans="3:7" ht="23.25" customHeight="1" x14ac:dyDescent="0.25">
      <c r="C550" s="83"/>
      <c r="D550" s="84"/>
      <c r="E550" s="84"/>
      <c r="F550" s="84"/>
      <c r="G550" s="94"/>
    </row>
    <row r="551" spans="3:7" ht="23.25" customHeight="1" x14ac:dyDescent="0.25">
      <c r="C551" s="83"/>
      <c r="D551" s="84"/>
      <c r="E551" s="84"/>
      <c r="F551" s="84"/>
      <c r="G551" s="94"/>
    </row>
    <row r="552" spans="3:7" ht="23.25" customHeight="1" x14ac:dyDescent="0.25">
      <c r="C552" s="83"/>
      <c r="D552" s="84"/>
      <c r="E552" s="84"/>
      <c r="F552" s="84"/>
      <c r="G552" s="94"/>
    </row>
    <row r="553" spans="3:7" ht="23.25" customHeight="1" x14ac:dyDescent="0.25">
      <c r="C553" s="83"/>
      <c r="D553" s="84"/>
      <c r="E553" s="84"/>
      <c r="F553" s="84"/>
      <c r="G553" s="94"/>
    </row>
    <row r="554" spans="3:7" ht="23.25" customHeight="1" x14ac:dyDescent="0.25">
      <c r="C554" s="83"/>
      <c r="D554" s="84"/>
      <c r="E554" s="84"/>
      <c r="F554" s="84"/>
      <c r="G554" s="94"/>
    </row>
    <row r="555" spans="3:7" ht="23.25" customHeight="1" x14ac:dyDescent="0.25">
      <c r="C555" s="83"/>
      <c r="D555" s="84"/>
      <c r="E555" s="84"/>
      <c r="F555" s="84"/>
      <c r="G555" s="94"/>
    </row>
    <row r="556" spans="3:7" ht="23.25" customHeight="1" x14ac:dyDescent="0.25">
      <c r="C556" s="83"/>
      <c r="D556" s="84"/>
      <c r="E556" s="84"/>
      <c r="F556" s="84"/>
      <c r="G556" s="94"/>
    </row>
    <row r="557" spans="3:7" ht="23.25" customHeight="1" x14ac:dyDescent="0.25">
      <c r="C557" s="83"/>
      <c r="D557" s="84"/>
      <c r="E557" s="84"/>
      <c r="F557" s="84"/>
      <c r="G557" s="94"/>
    </row>
    <row r="558" spans="3:7" ht="23.25" customHeight="1" x14ac:dyDescent="0.25">
      <c r="C558" s="83"/>
      <c r="D558" s="84"/>
      <c r="E558" s="84"/>
      <c r="F558" s="84"/>
      <c r="G558" s="94"/>
    </row>
    <row r="559" spans="3:7" ht="23.25" customHeight="1" x14ac:dyDescent="0.25">
      <c r="C559" s="83"/>
      <c r="D559" s="84"/>
      <c r="E559" s="84"/>
      <c r="F559" s="84"/>
      <c r="G559" s="94"/>
    </row>
    <row r="560" spans="3:7" ht="23.25" customHeight="1" x14ac:dyDescent="0.25">
      <c r="C560" s="83"/>
      <c r="D560" s="84"/>
      <c r="E560" s="84"/>
      <c r="F560" s="84"/>
      <c r="G560" s="94"/>
    </row>
    <row r="561" spans="3:7" ht="23.25" customHeight="1" x14ac:dyDescent="0.25">
      <c r="C561" s="83"/>
      <c r="D561" s="84"/>
      <c r="E561" s="84"/>
      <c r="F561" s="84"/>
      <c r="G561" s="94"/>
    </row>
    <row r="562" spans="3:7" ht="23.25" customHeight="1" x14ac:dyDescent="0.25">
      <c r="C562" s="83"/>
      <c r="D562" s="84"/>
      <c r="E562" s="84"/>
      <c r="F562" s="84"/>
      <c r="G562" s="94"/>
    </row>
    <row r="563" spans="3:7" ht="23.25" customHeight="1" x14ac:dyDescent="0.25">
      <c r="C563" s="83"/>
      <c r="D563" s="84"/>
      <c r="E563" s="84"/>
      <c r="F563" s="84"/>
      <c r="G563" s="94"/>
    </row>
    <row r="564" spans="3:7" ht="23.25" customHeight="1" x14ac:dyDescent="0.25">
      <c r="C564" s="83"/>
      <c r="D564" s="84"/>
      <c r="E564" s="84"/>
      <c r="F564" s="84"/>
      <c r="G564" s="94"/>
    </row>
    <row r="565" spans="3:7" ht="23.25" customHeight="1" x14ac:dyDescent="0.25">
      <c r="C565" s="83"/>
      <c r="D565" s="84"/>
      <c r="E565" s="84"/>
      <c r="F565" s="84"/>
      <c r="G565" s="94"/>
    </row>
    <row r="566" spans="3:7" ht="23.25" customHeight="1" x14ac:dyDescent="0.25">
      <c r="C566" s="83"/>
      <c r="D566" s="84"/>
      <c r="E566" s="84"/>
      <c r="F566" s="84"/>
      <c r="G566" s="94"/>
    </row>
    <row r="567" spans="3:7" ht="23.25" customHeight="1" x14ac:dyDescent="0.25">
      <c r="C567" s="83"/>
      <c r="D567" s="84"/>
      <c r="E567" s="84"/>
      <c r="F567" s="84"/>
      <c r="G567" s="94"/>
    </row>
    <row r="568" spans="3:7" ht="23.25" customHeight="1" x14ac:dyDescent="0.25">
      <c r="C568" s="83"/>
      <c r="D568" s="84"/>
      <c r="E568" s="84"/>
      <c r="F568" s="84"/>
      <c r="G568" s="94"/>
    </row>
    <row r="569" spans="3:7" ht="23.25" customHeight="1" x14ac:dyDescent="0.25">
      <c r="C569" s="83"/>
      <c r="D569" s="84"/>
      <c r="E569" s="84"/>
      <c r="F569" s="84"/>
      <c r="G569" s="94"/>
    </row>
    <row r="570" spans="3:7" ht="23.25" customHeight="1" x14ac:dyDescent="0.25">
      <c r="C570" s="83"/>
      <c r="D570" s="84"/>
      <c r="E570" s="84"/>
      <c r="F570" s="84"/>
      <c r="G570" s="94"/>
    </row>
    <row r="571" spans="3:7" ht="23.25" customHeight="1" x14ac:dyDescent="0.25">
      <c r="C571" s="83"/>
      <c r="D571" s="84"/>
      <c r="E571" s="84"/>
      <c r="F571" s="84"/>
      <c r="G571" s="94"/>
    </row>
    <row r="572" spans="3:7" ht="23.25" customHeight="1" x14ac:dyDescent="0.25">
      <c r="C572" s="83"/>
      <c r="D572" s="84"/>
      <c r="E572" s="84"/>
      <c r="F572" s="84"/>
      <c r="G572" s="94"/>
    </row>
    <row r="573" spans="3:7" ht="23.25" customHeight="1" x14ac:dyDescent="0.25">
      <c r="C573" s="83"/>
      <c r="D573" s="84"/>
      <c r="E573" s="84"/>
      <c r="F573" s="84"/>
      <c r="G573" s="94"/>
    </row>
    <row r="574" spans="3:7" ht="23.25" customHeight="1" x14ac:dyDescent="0.25">
      <c r="C574" s="83"/>
      <c r="D574" s="84"/>
      <c r="E574" s="84"/>
      <c r="F574" s="84"/>
      <c r="G574" s="94"/>
    </row>
    <row r="575" spans="3:7" ht="23.25" customHeight="1" x14ac:dyDescent="0.25">
      <c r="C575" s="83"/>
      <c r="D575" s="84"/>
      <c r="E575" s="84"/>
      <c r="F575" s="84"/>
      <c r="G575" s="94"/>
    </row>
    <row r="576" spans="3:7" ht="23.25" customHeight="1" x14ac:dyDescent="0.25">
      <c r="C576" s="83"/>
      <c r="D576" s="84"/>
      <c r="E576" s="84"/>
      <c r="F576" s="84"/>
      <c r="G576" s="94"/>
    </row>
    <row r="577" spans="3:7" ht="23.25" customHeight="1" x14ac:dyDescent="0.25">
      <c r="C577" s="83"/>
      <c r="D577" s="84"/>
      <c r="E577" s="84"/>
      <c r="F577" s="84"/>
      <c r="G577" s="94"/>
    </row>
    <row r="578" spans="3:7" ht="23.25" customHeight="1" x14ac:dyDescent="0.25">
      <c r="C578" s="83"/>
      <c r="D578" s="84"/>
      <c r="E578" s="84"/>
      <c r="F578" s="84"/>
      <c r="G578" s="94"/>
    </row>
    <row r="579" spans="3:7" ht="23.25" customHeight="1" x14ac:dyDescent="0.25">
      <c r="C579" s="83"/>
      <c r="D579" s="84"/>
      <c r="E579" s="84"/>
      <c r="F579" s="84"/>
      <c r="G579" s="94"/>
    </row>
    <row r="580" spans="3:7" ht="23.25" customHeight="1" x14ac:dyDescent="0.25">
      <c r="C580" s="83"/>
      <c r="D580" s="84"/>
      <c r="E580" s="84"/>
      <c r="F580" s="84"/>
      <c r="G580" s="94"/>
    </row>
    <row r="581" spans="3:7" ht="23.25" customHeight="1" x14ac:dyDescent="0.25">
      <c r="C581" s="83"/>
      <c r="D581" s="84"/>
      <c r="E581" s="84"/>
      <c r="F581" s="84"/>
      <c r="G581" s="94"/>
    </row>
    <row r="582" spans="3:7" ht="23.25" customHeight="1" x14ac:dyDescent="0.25">
      <c r="C582" s="83"/>
      <c r="D582" s="84"/>
      <c r="E582" s="84"/>
      <c r="F582" s="84"/>
      <c r="G582" s="94"/>
    </row>
    <row r="583" spans="3:7" ht="23.25" customHeight="1" x14ac:dyDescent="0.25">
      <c r="C583" s="83"/>
      <c r="D583" s="84"/>
      <c r="E583" s="84"/>
      <c r="F583" s="84"/>
      <c r="G583" s="94"/>
    </row>
    <row r="584" spans="3:7" ht="23.25" customHeight="1" x14ac:dyDescent="0.25">
      <c r="C584" s="83"/>
      <c r="D584" s="84"/>
      <c r="E584" s="84"/>
      <c r="F584" s="84"/>
      <c r="G584" s="94"/>
    </row>
    <row r="585" spans="3:7" ht="23.25" customHeight="1" x14ac:dyDescent="0.25">
      <c r="C585" s="83"/>
      <c r="D585" s="84"/>
      <c r="E585" s="84"/>
      <c r="F585" s="84"/>
      <c r="G585" s="94"/>
    </row>
    <row r="586" spans="3:7" ht="23.25" customHeight="1" x14ac:dyDescent="0.25">
      <c r="C586" s="83"/>
      <c r="D586" s="84"/>
      <c r="E586" s="84"/>
      <c r="F586" s="84"/>
      <c r="G586" s="94"/>
    </row>
    <row r="587" spans="3:7" ht="23.25" customHeight="1" x14ac:dyDescent="0.25">
      <c r="C587" s="83"/>
      <c r="D587" s="84"/>
      <c r="E587" s="84"/>
      <c r="F587" s="84"/>
      <c r="G587" s="94"/>
    </row>
    <row r="588" spans="3:7" ht="23.25" customHeight="1" x14ac:dyDescent="0.25">
      <c r="C588" s="83"/>
      <c r="D588" s="84"/>
      <c r="E588" s="84"/>
      <c r="F588" s="84"/>
      <c r="G588" s="94"/>
    </row>
    <row r="589" spans="3:7" ht="23.25" customHeight="1" x14ac:dyDescent="0.25">
      <c r="C589" s="83"/>
      <c r="D589" s="84"/>
      <c r="E589" s="84"/>
      <c r="F589" s="84"/>
      <c r="G589" s="94"/>
    </row>
    <row r="590" spans="3:7" ht="23.25" customHeight="1" x14ac:dyDescent="0.25">
      <c r="C590" s="83"/>
      <c r="D590" s="84"/>
      <c r="E590" s="84"/>
      <c r="F590" s="84"/>
      <c r="G590" s="94"/>
    </row>
    <row r="591" spans="3:7" ht="23.25" customHeight="1" x14ac:dyDescent="0.25">
      <c r="C591" s="83"/>
      <c r="D591" s="84"/>
      <c r="E591" s="84"/>
      <c r="F591" s="84"/>
      <c r="G591" s="94"/>
    </row>
    <row r="592" spans="3:7" ht="23.25" customHeight="1" x14ac:dyDescent="0.25">
      <c r="C592" s="83"/>
      <c r="D592" s="84"/>
      <c r="E592" s="84"/>
      <c r="F592" s="84"/>
      <c r="G592" s="94"/>
    </row>
    <row r="593" spans="3:7" ht="23.25" customHeight="1" x14ac:dyDescent="0.25">
      <c r="C593" s="83"/>
      <c r="D593" s="84"/>
      <c r="E593" s="84"/>
      <c r="F593" s="84"/>
      <c r="G593" s="94"/>
    </row>
    <row r="594" spans="3:7" ht="23.25" customHeight="1" x14ac:dyDescent="0.25">
      <c r="C594" s="83"/>
      <c r="D594" s="84"/>
      <c r="E594" s="84"/>
      <c r="F594" s="84"/>
      <c r="G594" s="94"/>
    </row>
    <row r="595" spans="3:7" ht="23.25" customHeight="1" x14ac:dyDescent="0.25">
      <c r="C595" s="83"/>
      <c r="D595" s="84"/>
      <c r="E595" s="84"/>
      <c r="F595" s="84"/>
      <c r="G595" s="94"/>
    </row>
    <row r="596" spans="3:7" ht="23.25" customHeight="1" x14ac:dyDescent="0.25">
      <c r="C596" s="83"/>
      <c r="D596" s="84"/>
      <c r="E596" s="84"/>
      <c r="F596" s="84"/>
      <c r="G596" s="94"/>
    </row>
    <row r="597" spans="3:7" ht="23.25" customHeight="1" x14ac:dyDescent="0.25">
      <c r="C597" s="83"/>
      <c r="D597" s="84"/>
      <c r="E597" s="84"/>
      <c r="F597" s="84"/>
      <c r="G597" s="94"/>
    </row>
    <row r="598" spans="3:7" ht="23.25" customHeight="1" x14ac:dyDescent="0.25">
      <c r="C598" s="83"/>
      <c r="D598" s="84"/>
      <c r="E598" s="84"/>
      <c r="F598" s="84"/>
      <c r="G598" s="94"/>
    </row>
    <row r="599" spans="3:7" ht="23.25" customHeight="1" x14ac:dyDescent="0.25">
      <c r="C599" s="83"/>
      <c r="D599" s="84"/>
      <c r="E599" s="84"/>
      <c r="F599" s="84"/>
      <c r="G599" s="94"/>
    </row>
    <row r="600" spans="3:7" ht="23.25" customHeight="1" x14ac:dyDescent="0.25">
      <c r="C600" s="83"/>
      <c r="D600" s="84"/>
      <c r="E600" s="84"/>
      <c r="F600" s="84"/>
      <c r="G600" s="94"/>
    </row>
    <row r="601" spans="3:7" ht="23.25" customHeight="1" x14ac:dyDescent="0.25">
      <c r="C601" s="83"/>
      <c r="D601" s="84"/>
      <c r="E601" s="84"/>
      <c r="F601" s="84"/>
      <c r="G601" s="94"/>
    </row>
    <row r="602" spans="3:7" ht="23.25" customHeight="1" x14ac:dyDescent="0.25">
      <c r="C602" s="83"/>
      <c r="D602" s="84"/>
      <c r="E602" s="84"/>
      <c r="F602" s="84"/>
      <c r="G602" s="94"/>
    </row>
    <row r="603" spans="3:7" ht="23.25" customHeight="1" x14ac:dyDescent="0.25">
      <c r="C603" s="83"/>
      <c r="D603" s="84"/>
      <c r="E603" s="84"/>
      <c r="F603" s="84"/>
      <c r="G603" s="94"/>
    </row>
    <row r="604" spans="3:7" ht="23.25" customHeight="1" x14ac:dyDescent="0.25">
      <c r="C604" s="83"/>
      <c r="D604" s="84"/>
      <c r="E604" s="84"/>
      <c r="F604" s="84"/>
      <c r="G604" s="94"/>
    </row>
    <row r="605" spans="3:7" ht="23.25" customHeight="1" x14ac:dyDescent="0.25">
      <c r="C605" s="83"/>
      <c r="D605" s="84"/>
      <c r="E605" s="84"/>
      <c r="F605" s="84"/>
      <c r="G605" s="94"/>
    </row>
    <row r="606" spans="3:7" ht="23.25" customHeight="1" x14ac:dyDescent="0.25">
      <c r="C606" s="83"/>
      <c r="D606" s="84"/>
      <c r="E606" s="84"/>
      <c r="F606" s="84"/>
      <c r="G606" s="94"/>
    </row>
    <row r="607" spans="3:7" ht="23.25" customHeight="1" x14ac:dyDescent="0.25">
      <c r="C607" s="83"/>
      <c r="D607" s="84"/>
      <c r="E607" s="84"/>
      <c r="F607" s="84"/>
      <c r="G607" s="94"/>
    </row>
    <row r="608" spans="3:7" ht="23.25" customHeight="1" x14ac:dyDescent="0.25">
      <c r="C608" s="83"/>
      <c r="D608" s="84"/>
      <c r="E608" s="84"/>
      <c r="F608" s="84"/>
      <c r="G608" s="94"/>
    </row>
    <row r="609" spans="3:7" ht="23.25" customHeight="1" x14ac:dyDescent="0.25">
      <c r="C609" s="83"/>
      <c r="D609" s="84"/>
      <c r="E609" s="84"/>
      <c r="F609" s="84"/>
      <c r="G609" s="94"/>
    </row>
    <row r="610" spans="3:7" ht="23.25" customHeight="1" x14ac:dyDescent="0.25">
      <c r="C610" s="83"/>
      <c r="D610" s="84"/>
      <c r="E610" s="84"/>
      <c r="F610" s="84"/>
      <c r="G610" s="94"/>
    </row>
    <row r="611" spans="3:7" ht="23.25" customHeight="1" x14ac:dyDescent="0.25">
      <c r="C611" s="83"/>
      <c r="D611" s="84"/>
      <c r="E611" s="84"/>
      <c r="F611" s="84"/>
      <c r="G611" s="94"/>
    </row>
    <row r="612" spans="3:7" ht="23.25" customHeight="1" x14ac:dyDescent="0.25">
      <c r="C612" s="83"/>
      <c r="D612" s="84"/>
      <c r="E612" s="84"/>
      <c r="F612" s="84"/>
      <c r="G612" s="94"/>
    </row>
    <row r="613" spans="3:7" ht="23.25" customHeight="1" x14ac:dyDescent="0.25">
      <c r="C613" s="83"/>
      <c r="D613" s="84"/>
      <c r="E613" s="84"/>
      <c r="F613" s="84"/>
      <c r="G613" s="94"/>
    </row>
    <row r="614" spans="3:7" ht="23.25" customHeight="1" x14ac:dyDescent="0.25">
      <c r="C614" s="83"/>
      <c r="D614" s="84"/>
      <c r="E614" s="84"/>
      <c r="F614" s="84"/>
      <c r="G614" s="94"/>
    </row>
    <row r="615" spans="3:7" ht="23.25" customHeight="1" x14ac:dyDescent="0.25">
      <c r="C615" s="83"/>
      <c r="D615" s="84"/>
      <c r="E615" s="84"/>
      <c r="F615" s="84"/>
      <c r="G615" s="94"/>
    </row>
    <row r="616" spans="3:7" ht="23.25" customHeight="1" x14ac:dyDescent="0.25">
      <c r="C616" s="83"/>
      <c r="D616" s="84"/>
      <c r="E616" s="84"/>
      <c r="F616" s="84"/>
      <c r="G616" s="94"/>
    </row>
    <row r="617" spans="3:7" ht="23.25" customHeight="1" x14ac:dyDescent="0.25">
      <c r="C617" s="83"/>
      <c r="D617" s="84"/>
      <c r="E617" s="84"/>
      <c r="F617" s="84"/>
      <c r="G617" s="94"/>
    </row>
    <row r="618" spans="3:7" ht="23.25" customHeight="1" x14ac:dyDescent="0.25">
      <c r="C618" s="83"/>
      <c r="D618" s="84"/>
      <c r="E618" s="84"/>
      <c r="F618" s="84"/>
      <c r="G618" s="94"/>
    </row>
    <row r="619" spans="3:7" ht="23.25" customHeight="1" x14ac:dyDescent="0.25">
      <c r="C619" s="83"/>
      <c r="D619" s="84"/>
      <c r="E619" s="84"/>
      <c r="F619" s="84"/>
      <c r="G619" s="94"/>
    </row>
    <row r="620" spans="3:7" ht="23.25" customHeight="1" x14ac:dyDescent="0.25">
      <c r="C620" s="83"/>
      <c r="D620" s="84"/>
      <c r="E620" s="84"/>
      <c r="F620" s="84"/>
      <c r="G620" s="94"/>
    </row>
    <row r="621" spans="3:7" ht="23.25" customHeight="1" x14ac:dyDescent="0.25">
      <c r="C621" s="83"/>
      <c r="D621" s="84"/>
      <c r="E621" s="84"/>
      <c r="F621" s="84"/>
      <c r="G621" s="94"/>
    </row>
    <row r="622" spans="3:7" ht="23.25" customHeight="1" x14ac:dyDescent="0.25">
      <c r="C622" s="83"/>
      <c r="D622" s="84"/>
      <c r="E622" s="84"/>
      <c r="F622" s="84"/>
      <c r="G622" s="94"/>
    </row>
    <row r="623" spans="3:7" ht="23.25" customHeight="1" x14ac:dyDescent="0.25">
      <c r="C623" s="83"/>
      <c r="D623" s="84"/>
      <c r="E623" s="84"/>
      <c r="F623" s="84"/>
      <c r="G623" s="94"/>
    </row>
    <row r="624" spans="3:7" ht="23.25" customHeight="1" x14ac:dyDescent="0.25">
      <c r="C624" s="83"/>
      <c r="D624" s="84"/>
      <c r="E624" s="84"/>
      <c r="F624" s="84"/>
      <c r="G624" s="94"/>
    </row>
    <row r="625" spans="3:7" ht="23.25" customHeight="1" x14ac:dyDescent="0.25">
      <c r="C625" s="83"/>
      <c r="D625" s="84"/>
      <c r="E625" s="84"/>
      <c r="F625" s="84"/>
      <c r="G625" s="94"/>
    </row>
    <row r="626" spans="3:7" ht="23.25" customHeight="1" x14ac:dyDescent="0.25">
      <c r="C626" s="83"/>
      <c r="D626" s="84"/>
      <c r="E626" s="84"/>
      <c r="F626" s="84"/>
      <c r="G626" s="94"/>
    </row>
    <row r="627" spans="3:7" ht="23.25" customHeight="1" x14ac:dyDescent="0.25">
      <c r="C627" s="83"/>
      <c r="D627" s="84"/>
      <c r="E627" s="84"/>
      <c r="F627" s="84"/>
      <c r="G627" s="94"/>
    </row>
    <row r="628" spans="3:7" ht="23.25" customHeight="1" x14ac:dyDescent="0.25">
      <c r="C628" s="83"/>
      <c r="D628" s="84"/>
      <c r="E628" s="84"/>
      <c r="F628" s="84"/>
      <c r="G628" s="94"/>
    </row>
    <row r="629" spans="3:7" ht="23.25" customHeight="1" x14ac:dyDescent="0.25">
      <c r="C629" s="83"/>
      <c r="D629" s="84"/>
      <c r="E629" s="84"/>
      <c r="F629" s="84"/>
      <c r="G629" s="94"/>
    </row>
    <row r="630" spans="3:7" ht="23.25" customHeight="1" x14ac:dyDescent="0.25">
      <c r="C630" s="83"/>
      <c r="D630" s="84"/>
      <c r="E630" s="84"/>
      <c r="F630" s="84"/>
      <c r="G630" s="94"/>
    </row>
    <row r="631" spans="3:7" ht="23.25" customHeight="1" x14ac:dyDescent="0.25">
      <c r="C631" s="83"/>
      <c r="D631" s="84"/>
      <c r="E631" s="84"/>
      <c r="F631" s="84"/>
      <c r="G631" s="94"/>
    </row>
    <row r="632" spans="3:7" ht="23.25" customHeight="1" x14ac:dyDescent="0.25">
      <c r="C632" s="83"/>
      <c r="D632" s="84"/>
      <c r="E632" s="84"/>
      <c r="F632" s="84"/>
      <c r="G632" s="94"/>
    </row>
    <row r="633" spans="3:7" ht="23.25" customHeight="1" x14ac:dyDescent="0.25">
      <c r="C633" s="83"/>
      <c r="D633" s="84"/>
      <c r="E633" s="84"/>
      <c r="F633" s="84"/>
      <c r="G633" s="94"/>
    </row>
    <row r="634" spans="3:7" ht="23.25" customHeight="1" x14ac:dyDescent="0.25">
      <c r="C634" s="83"/>
      <c r="D634" s="84"/>
      <c r="E634" s="84"/>
      <c r="F634" s="84"/>
      <c r="G634" s="94"/>
    </row>
    <row r="635" spans="3:7" ht="23.25" customHeight="1" x14ac:dyDescent="0.25">
      <c r="C635" s="83"/>
      <c r="D635" s="84"/>
      <c r="E635" s="84"/>
      <c r="F635" s="84"/>
      <c r="G635" s="94"/>
    </row>
    <row r="636" spans="3:7" ht="23.25" customHeight="1" x14ac:dyDescent="0.25">
      <c r="C636" s="83"/>
      <c r="D636" s="84"/>
      <c r="E636" s="84"/>
      <c r="F636" s="84"/>
      <c r="G636" s="94"/>
    </row>
    <row r="637" spans="3:7" ht="23.25" customHeight="1" x14ac:dyDescent="0.25">
      <c r="C637" s="83"/>
      <c r="D637" s="84"/>
      <c r="E637" s="84"/>
      <c r="F637" s="84"/>
      <c r="G637" s="94"/>
    </row>
    <row r="638" spans="3:7" ht="23.25" customHeight="1" x14ac:dyDescent="0.25">
      <c r="C638" s="83"/>
      <c r="D638" s="84"/>
      <c r="E638" s="84"/>
      <c r="F638" s="84"/>
      <c r="G638" s="94"/>
    </row>
    <row r="639" spans="3:7" ht="23.25" customHeight="1" x14ac:dyDescent="0.25">
      <c r="C639" s="83"/>
      <c r="D639" s="84"/>
      <c r="E639" s="84"/>
      <c r="F639" s="84"/>
      <c r="G639" s="94"/>
    </row>
    <row r="640" spans="3:7" ht="23.25" customHeight="1" x14ac:dyDescent="0.25">
      <c r="C640" s="83"/>
      <c r="D640" s="84"/>
      <c r="E640" s="84"/>
      <c r="F640" s="84"/>
      <c r="G640" s="94"/>
    </row>
    <row r="641" spans="3:7" ht="23.25" customHeight="1" x14ac:dyDescent="0.25">
      <c r="C641" s="83"/>
      <c r="D641" s="84"/>
      <c r="E641" s="84"/>
      <c r="F641" s="84"/>
      <c r="G641" s="94"/>
    </row>
    <row r="642" spans="3:7" ht="23.25" customHeight="1" x14ac:dyDescent="0.25">
      <c r="C642" s="83"/>
      <c r="D642" s="84"/>
      <c r="E642" s="84"/>
      <c r="F642" s="84"/>
      <c r="G642" s="94"/>
    </row>
    <row r="643" spans="3:7" ht="23.25" customHeight="1" x14ac:dyDescent="0.25">
      <c r="C643" s="83"/>
      <c r="D643" s="84"/>
      <c r="E643" s="84"/>
      <c r="F643" s="84"/>
      <c r="G643" s="94"/>
    </row>
    <row r="644" spans="3:7" ht="23.25" customHeight="1" x14ac:dyDescent="0.25">
      <c r="C644" s="83"/>
      <c r="D644" s="84"/>
      <c r="E644" s="84"/>
      <c r="F644" s="84"/>
      <c r="G644" s="94"/>
    </row>
    <row r="645" spans="3:7" ht="23.25" customHeight="1" x14ac:dyDescent="0.25">
      <c r="C645" s="83"/>
      <c r="D645" s="84"/>
      <c r="E645" s="84"/>
      <c r="F645" s="84"/>
      <c r="G645" s="94"/>
    </row>
    <row r="646" spans="3:7" ht="23.25" customHeight="1" x14ac:dyDescent="0.25">
      <c r="C646" s="83"/>
      <c r="D646" s="84"/>
      <c r="E646" s="84"/>
      <c r="F646" s="84"/>
      <c r="G646" s="94"/>
    </row>
    <row r="647" spans="3:7" ht="23.25" customHeight="1" x14ac:dyDescent="0.25">
      <c r="C647" s="83"/>
      <c r="D647" s="84"/>
      <c r="E647" s="84"/>
      <c r="F647" s="84"/>
      <c r="G647" s="94"/>
    </row>
    <row r="648" spans="3:7" ht="23.25" customHeight="1" x14ac:dyDescent="0.25">
      <c r="C648" s="83"/>
      <c r="D648" s="84"/>
      <c r="E648" s="84"/>
      <c r="F648" s="84"/>
      <c r="G648" s="94"/>
    </row>
    <row r="649" spans="3:7" ht="23.25" customHeight="1" x14ac:dyDescent="0.25">
      <c r="C649" s="83"/>
      <c r="D649" s="84"/>
      <c r="E649" s="84"/>
      <c r="F649" s="84"/>
      <c r="G649" s="94"/>
    </row>
    <row r="650" spans="3:7" ht="23.25" customHeight="1" x14ac:dyDescent="0.25">
      <c r="C650" s="83"/>
      <c r="D650" s="84"/>
      <c r="E650" s="84"/>
      <c r="F650" s="84"/>
      <c r="G650" s="94"/>
    </row>
    <row r="651" spans="3:7" ht="23.25" customHeight="1" x14ac:dyDescent="0.25">
      <c r="C651" s="83"/>
      <c r="D651" s="84"/>
      <c r="E651" s="84"/>
      <c r="F651" s="84"/>
      <c r="G651" s="94"/>
    </row>
    <row r="652" spans="3:7" ht="23.25" customHeight="1" x14ac:dyDescent="0.25">
      <c r="C652" s="83"/>
      <c r="D652" s="84"/>
      <c r="E652" s="84"/>
      <c r="F652" s="84"/>
      <c r="G652" s="94"/>
    </row>
    <row r="653" spans="3:7" ht="23.25" customHeight="1" x14ac:dyDescent="0.25">
      <c r="C653" s="83"/>
      <c r="D653" s="84"/>
      <c r="E653" s="84"/>
      <c r="F653" s="84"/>
      <c r="G653" s="94"/>
    </row>
    <row r="654" spans="3:7" ht="23.25" customHeight="1" x14ac:dyDescent="0.25">
      <c r="C654" s="83"/>
      <c r="D654" s="84"/>
      <c r="E654" s="84"/>
      <c r="F654" s="84"/>
      <c r="G654" s="94"/>
    </row>
    <row r="655" spans="3:7" ht="23.25" customHeight="1" x14ac:dyDescent="0.25">
      <c r="C655" s="83"/>
      <c r="D655" s="84"/>
      <c r="E655" s="84"/>
      <c r="F655" s="84"/>
      <c r="G655" s="94"/>
    </row>
    <row r="656" spans="3:7" ht="23.25" customHeight="1" x14ac:dyDescent="0.25">
      <c r="C656" s="83"/>
      <c r="D656" s="84"/>
      <c r="E656" s="84"/>
      <c r="F656" s="84"/>
      <c r="G656" s="94"/>
    </row>
    <row r="657" spans="3:7" ht="23.25" customHeight="1" x14ac:dyDescent="0.25">
      <c r="C657" s="83"/>
      <c r="D657" s="84"/>
      <c r="E657" s="84"/>
      <c r="F657" s="84"/>
      <c r="G657" s="94"/>
    </row>
    <row r="658" spans="3:7" ht="23.25" customHeight="1" x14ac:dyDescent="0.25">
      <c r="C658" s="83"/>
      <c r="D658" s="84"/>
      <c r="E658" s="84"/>
      <c r="F658" s="84"/>
      <c r="G658" s="94"/>
    </row>
    <row r="659" spans="3:7" ht="23.25" customHeight="1" x14ac:dyDescent="0.25">
      <c r="C659" s="83"/>
      <c r="D659" s="84"/>
      <c r="E659" s="84"/>
      <c r="F659" s="84"/>
      <c r="G659" s="94"/>
    </row>
    <row r="660" spans="3:7" ht="23.25" customHeight="1" x14ac:dyDescent="0.25">
      <c r="C660" s="83"/>
      <c r="D660" s="84"/>
      <c r="E660" s="84"/>
      <c r="F660" s="84"/>
      <c r="G660" s="94"/>
    </row>
    <row r="661" spans="3:7" ht="23.25" customHeight="1" x14ac:dyDescent="0.25">
      <c r="C661" s="83"/>
      <c r="D661" s="84"/>
      <c r="E661" s="84"/>
      <c r="F661" s="84"/>
      <c r="G661" s="94"/>
    </row>
    <row r="662" spans="3:7" ht="23.25" customHeight="1" x14ac:dyDescent="0.25">
      <c r="C662" s="83"/>
      <c r="D662" s="84"/>
      <c r="E662" s="84"/>
      <c r="F662" s="84"/>
      <c r="G662" s="94"/>
    </row>
    <row r="663" spans="3:7" ht="23.25" customHeight="1" x14ac:dyDescent="0.25">
      <c r="C663" s="83"/>
      <c r="D663" s="84"/>
      <c r="E663" s="84"/>
      <c r="F663" s="84"/>
      <c r="G663" s="94"/>
    </row>
    <row r="664" spans="3:7" ht="23.25" customHeight="1" x14ac:dyDescent="0.25">
      <c r="C664" s="83"/>
      <c r="D664" s="84"/>
      <c r="E664" s="84"/>
      <c r="F664" s="84"/>
      <c r="G664" s="94"/>
    </row>
    <row r="665" spans="3:7" ht="23.25" customHeight="1" x14ac:dyDescent="0.25">
      <c r="C665" s="83"/>
      <c r="D665" s="84"/>
      <c r="E665" s="84"/>
      <c r="F665" s="84"/>
      <c r="G665" s="94"/>
    </row>
    <row r="666" spans="3:7" ht="23.25" customHeight="1" x14ac:dyDescent="0.25">
      <c r="C666" s="83"/>
      <c r="D666" s="84"/>
      <c r="E666" s="84"/>
      <c r="F666" s="84"/>
      <c r="G666" s="94"/>
    </row>
    <row r="667" spans="3:7" ht="23.25" customHeight="1" x14ac:dyDescent="0.25">
      <c r="C667" s="83"/>
      <c r="D667" s="84"/>
      <c r="E667" s="84"/>
      <c r="F667" s="84"/>
      <c r="G667" s="94"/>
    </row>
    <row r="668" spans="3:7" ht="23.25" customHeight="1" x14ac:dyDescent="0.25">
      <c r="C668" s="83"/>
      <c r="D668" s="84"/>
      <c r="E668" s="84"/>
      <c r="F668" s="84"/>
      <c r="G668" s="94"/>
    </row>
    <row r="669" spans="3:7" ht="23.25" customHeight="1" x14ac:dyDescent="0.25">
      <c r="C669" s="83"/>
      <c r="D669" s="84"/>
      <c r="E669" s="84"/>
      <c r="F669" s="84"/>
      <c r="G669" s="94"/>
    </row>
    <row r="670" spans="3:7" ht="23.25" customHeight="1" x14ac:dyDescent="0.25">
      <c r="C670" s="83"/>
      <c r="D670" s="84"/>
      <c r="E670" s="84"/>
      <c r="F670" s="84"/>
      <c r="G670" s="94"/>
    </row>
    <row r="671" spans="3:7" ht="23.25" customHeight="1" x14ac:dyDescent="0.25">
      <c r="C671" s="83"/>
      <c r="D671" s="84"/>
      <c r="E671" s="84"/>
      <c r="F671" s="84"/>
      <c r="G671" s="94"/>
    </row>
    <row r="672" spans="3:7" ht="23.25" customHeight="1" x14ac:dyDescent="0.25">
      <c r="C672" s="83"/>
      <c r="D672" s="84"/>
      <c r="E672" s="84"/>
      <c r="F672" s="84"/>
      <c r="G672" s="94"/>
    </row>
    <row r="673" spans="3:7" ht="23.25" customHeight="1" x14ac:dyDescent="0.25">
      <c r="C673" s="83"/>
      <c r="D673" s="84"/>
      <c r="E673" s="84"/>
      <c r="F673" s="84"/>
      <c r="G673" s="94"/>
    </row>
    <row r="674" spans="3:7" ht="23.25" customHeight="1" x14ac:dyDescent="0.25">
      <c r="C674" s="83"/>
      <c r="D674" s="84"/>
      <c r="E674" s="84"/>
      <c r="F674" s="84"/>
      <c r="G674" s="94"/>
    </row>
    <row r="675" spans="3:7" ht="23.25" customHeight="1" x14ac:dyDescent="0.25">
      <c r="C675" s="83"/>
      <c r="D675" s="84"/>
      <c r="E675" s="84"/>
      <c r="F675" s="84"/>
      <c r="G675" s="94"/>
    </row>
    <row r="676" spans="3:7" ht="23.25" customHeight="1" x14ac:dyDescent="0.25">
      <c r="C676" s="83"/>
      <c r="D676" s="84"/>
      <c r="E676" s="84"/>
      <c r="F676" s="84"/>
      <c r="G676" s="94"/>
    </row>
    <row r="677" spans="3:7" ht="23.25" customHeight="1" x14ac:dyDescent="0.25">
      <c r="C677" s="83"/>
      <c r="D677" s="84"/>
      <c r="E677" s="84"/>
      <c r="F677" s="84"/>
      <c r="G677" s="94"/>
    </row>
    <row r="678" spans="3:7" ht="23.25" customHeight="1" x14ac:dyDescent="0.25">
      <c r="C678" s="83"/>
      <c r="D678" s="84"/>
      <c r="E678" s="84"/>
      <c r="F678" s="84"/>
      <c r="G678" s="94"/>
    </row>
    <row r="679" spans="3:7" ht="23.25" customHeight="1" x14ac:dyDescent="0.25">
      <c r="C679" s="83"/>
      <c r="D679" s="84"/>
      <c r="E679" s="84"/>
      <c r="F679" s="84"/>
      <c r="G679" s="94"/>
    </row>
    <row r="680" spans="3:7" ht="23.25" customHeight="1" x14ac:dyDescent="0.25">
      <c r="C680" s="83"/>
      <c r="D680" s="84"/>
      <c r="E680" s="84"/>
      <c r="F680" s="84"/>
      <c r="G680" s="94"/>
    </row>
    <row r="681" spans="3:7" ht="23.25" customHeight="1" x14ac:dyDescent="0.25">
      <c r="C681" s="83"/>
      <c r="D681" s="84"/>
      <c r="E681" s="84"/>
      <c r="F681" s="84"/>
      <c r="G681" s="94"/>
    </row>
    <row r="682" spans="3:7" ht="23.25" customHeight="1" x14ac:dyDescent="0.25">
      <c r="C682" s="83"/>
      <c r="D682" s="84"/>
      <c r="E682" s="84"/>
      <c r="F682" s="84"/>
      <c r="G682" s="94"/>
    </row>
    <row r="683" spans="3:7" ht="23.25" customHeight="1" x14ac:dyDescent="0.25">
      <c r="C683" s="83"/>
      <c r="D683" s="84"/>
      <c r="E683" s="84"/>
      <c r="F683" s="84"/>
      <c r="G683" s="94"/>
    </row>
    <row r="684" spans="3:7" ht="23.25" customHeight="1" x14ac:dyDescent="0.25">
      <c r="C684" s="83"/>
      <c r="D684" s="84"/>
      <c r="E684" s="84"/>
      <c r="F684" s="84"/>
      <c r="G684" s="94"/>
    </row>
    <row r="685" spans="3:7" ht="23.25" customHeight="1" x14ac:dyDescent="0.25">
      <c r="C685" s="83"/>
      <c r="D685" s="84"/>
      <c r="E685" s="84"/>
      <c r="F685" s="84"/>
      <c r="G685" s="94"/>
    </row>
    <row r="686" spans="3:7" ht="23.25" customHeight="1" x14ac:dyDescent="0.25">
      <c r="C686" s="83"/>
      <c r="D686" s="84"/>
      <c r="E686" s="84"/>
      <c r="F686" s="84"/>
      <c r="G686" s="94"/>
    </row>
    <row r="687" spans="3:7" ht="23.25" customHeight="1" x14ac:dyDescent="0.25">
      <c r="C687" s="83"/>
      <c r="D687" s="84"/>
      <c r="E687" s="84"/>
      <c r="F687" s="84"/>
      <c r="G687" s="94"/>
    </row>
    <row r="688" spans="3:7" ht="23.25" customHeight="1" x14ac:dyDescent="0.25">
      <c r="C688" s="83"/>
      <c r="D688" s="84"/>
      <c r="E688" s="84"/>
      <c r="F688" s="84"/>
      <c r="G688" s="94"/>
    </row>
    <row r="689" spans="3:7" ht="23.25" customHeight="1" x14ac:dyDescent="0.25">
      <c r="C689" s="83"/>
      <c r="D689" s="84"/>
      <c r="E689" s="84"/>
      <c r="F689" s="84"/>
      <c r="G689" s="94"/>
    </row>
    <row r="690" spans="3:7" ht="23.25" customHeight="1" x14ac:dyDescent="0.25">
      <c r="C690" s="83"/>
      <c r="D690" s="84"/>
      <c r="E690" s="84"/>
      <c r="F690" s="84"/>
      <c r="G690" s="94"/>
    </row>
    <row r="691" spans="3:7" ht="23.25" customHeight="1" x14ac:dyDescent="0.25">
      <c r="C691" s="83"/>
      <c r="D691" s="84"/>
      <c r="E691" s="84"/>
      <c r="F691" s="84"/>
      <c r="G691" s="94"/>
    </row>
    <row r="692" spans="3:7" ht="23.25" customHeight="1" x14ac:dyDescent="0.25">
      <c r="C692" s="83"/>
      <c r="D692" s="84"/>
      <c r="E692" s="84"/>
      <c r="F692" s="84"/>
      <c r="G692" s="94"/>
    </row>
    <row r="693" spans="3:7" ht="23.25" customHeight="1" x14ac:dyDescent="0.25">
      <c r="C693" s="83"/>
      <c r="D693" s="84"/>
      <c r="E693" s="84"/>
      <c r="F693" s="84"/>
      <c r="G693" s="94"/>
    </row>
    <row r="694" spans="3:7" ht="23.25" customHeight="1" x14ac:dyDescent="0.25">
      <c r="C694" s="83"/>
      <c r="D694" s="84"/>
      <c r="E694" s="84"/>
      <c r="F694" s="84"/>
      <c r="G694" s="94"/>
    </row>
    <row r="695" spans="3:7" ht="23.25" customHeight="1" x14ac:dyDescent="0.25">
      <c r="C695" s="83"/>
      <c r="D695" s="84"/>
      <c r="E695" s="84"/>
      <c r="F695" s="84"/>
      <c r="G695" s="94"/>
    </row>
    <row r="696" spans="3:7" ht="23.25" customHeight="1" x14ac:dyDescent="0.25">
      <c r="C696" s="83"/>
      <c r="D696" s="84"/>
      <c r="E696" s="84"/>
      <c r="F696" s="84"/>
      <c r="G696" s="94"/>
    </row>
    <row r="697" spans="3:7" ht="23.25" customHeight="1" x14ac:dyDescent="0.25">
      <c r="C697" s="83"/>
      <c r="D697" s="84"/>
      <c r="E697" s="84"/>
      <c r="F697" s="84"/>
      <c r="G697" s="94"/>
    </row>
    <row r="698" spans="3:7" ht="23.25" customHeight="1" x14ac:dyDescent="0.25">
      <c r="C698" s="83"/>
      <c r="D698" s="84"/>
      <c r="E698" s="84"/>
      <c r="F698" s="84"/>
      <c r="G698" s="94"/>
    </row>
    <row r="699" spans="3:7" ht="23.25" customHeight="1" x14ac:dyDescent="0.25">
      <c r="C699" s="83"/>
      <c r="D699" s="84"/>
      <c r="E699" s="84"/>
      <c r="F699" s="84"/>
      <c r="G699" s="94"/>
    </row>
    <row r="700" spans="3:7" ht="23.25" customHeight="1" x14ac:dyDescent="0.25">
      <c r="C700" s="83"/>
      <c r="D700" s="84"/>
      <c r="E700" s="84"/>
      <c r="F700" s="84"/>
      <c r="G700" s="94"/>
    </row>
    <row r="701" spans="3:7" ht="23.25" customHeight="1" x14ac:dyDescent="0.25">
      <c r="C701" s="83"/>
      <c r="D701" s="84"/>
      <c r="E701" s="84"/>
      <c r="F701" s="84"/>
      <c r="G701" s="94"/>
    </row>
    <row r="702" spans="3:7" ht="23.25" customHeight="1" x14ac:dyDescent="0.25">
      <c r="C702" s="83"/>
      <c r="D702" s="84"/>
      <c r="E702" s="84"/>
      <c r="F702" s="84"/>
      <c r="G702" s="94"/>
    </row>
    <row r="703" spans="3:7" ht="23.25" customHeight="1" x14ac:dyDescent="0.25">
      <c r="C703" s="83"/>
      <c r="D703" s="84"/>
      <c r="E703" s="84"/>
      <c r="F703" s="84"/>
      <c r="G703" s="94"/>
    </row>
    <row r="704" spans="3:7" ht="23.25" customHeight="1" x14ac:dyDescent="0.25">
      <c r="C704" s="83"/>
      <c r="D704" s="84"/>
      <c r="E704" s="84"/>
      <c r="F704" s="84"/>
      <c r="G704" s="94"/>
    </row>
    <row r="705" spans="3:7" ht="23.25" customHeight="1" x14ac:dyDescent="0.25">
      <c r="C705" s="83"/>
      <c r="D705" s="84"/>
      <c r="E705" s="84"/>
      <c r="F705" s="84"/>
      <c r="G705" s="94"/>
    </row>
    <row r="706" spans="3:7" ht="23.25" customHeight="1" x14ac:dyDescent="0.25">
      <c r="C706" s="83"/>
      <c r="D706" s="84"/>
      <c r="E706" s="84"/>
      <c r="F706" s="84"/>
      <c r="G706" s="94"/>
    </row>
    <row r="707" spans="3:7" ht="23.25" customHeight="1" x14ac:dyDescent="0.25">
      <c r="C707" s="83"/>
      <c r="D707" s="84"/>
      <c r="E707" s="84"/>
      <c r="F707" s="84"/>
      <c r="G707" s="94"/>
    </row>
    <row r="708" spans="3:7" ht="23.25" customHeight="1" x14ac:dyDescent="0.25">
      <c r="C708" s="83"/>
      <c r="D708" s="84"/>
      <c r="E708" s="84"/>
      <c r="F708" s="84"/>
      <c r="G708" s="94"/>
    </row>
    <row r="709" spans="3:7" ht="23.25" customHeight="1" x14ac:dyDescent="0.25">
      <c r="C709" s="83"/>
      <c r="D709" s="84"/>
      <c r="E709" s="84"/>
      <c r="F709" s="84"/>
      <c r="G709" s="94"/>
    </row>
    <row r="710" spans="3:7" ht="23.25" customHeight="1" x14ac:dyDescent="0.25">
      <c r="C710" s="83"/>
      <c r="D710" s="84"/>
      <c r="E710" s="84"/>
      <c r="F710" s="84"/>
      <c r="G710" s="94"/>
    </row>
    <row r="711" spans="3:7" ht="23.25" customHeight="1" x14ac:dyDescent="0.25">
      <c r="C711" s="83"/>
      <c r="D711" s="84"/>
      <c r="E711" s="84"/>
      <c r="F711" s="84"/>
      <c r="G711" s="94"/>
    </row>
    <row r="712" spans="3:7" ht="23.25" customHeight="1" x14ac:dyDescent="0.25">
      <c r="C712" s="83"/>
      <c r="D712" s="84"/>
      <c r="E712" s="84"/>
      <c r="F712" s="84"/>
      <c r="G712" s="94"/>
    </row>
    <row r="713" spans="3:7" ht="23.25" customHeight="1" x14ac:dyDescent="0.25">
      <c r="C713" s="83"/>
      <c r="D713" s="84"/>
      <c r="E713" s="84"/>
      <c r="F713" s="84"/>
      <c r="G713" s="94"/>
    </row>
    <row r="714" spans="3:7" ht="23.25" customHeight="1" x14ac:dyDescent="0.25">
      <c r="C714" s="83"/>
      <c r="D714" s="84"/>
      <c r="E714" s="84"/>
      <c r="F714" s="84"/>
      <c r="G714" s="94"/>
    </row>
    <row r="715" spans="3:7" ht="23.25" customHeight="1" x14ac:dyDescent="0.25">
      <c r="C715" s="83"/>
      <c r="D715" s="84"/>
      <c r="E715" s="84"/>
      <c r="F715" s="84"/>
      <c r="G715" s="94"/>
    </row>
    <row r="716" spans="3:7" ht="23.25" customHeight="1" x14ac:dyDescent="0.25">
      <c r="C716" s="83"/>
      <c r="D716" s="84"/>
      <c r="E716" s="84"/>
      <c r="F716" s="84"/>
      <c r="G716" s="94"/>
    </row>
    <row r="717" spans="3:7" ht="23.25" customHeight="1" x14ac:dyDescent="0.25">
      <c r="C717" s="83"/>
      <c r="D717" s="84"/>
      <c r="E717" s="84"/>
      <c r="F717" s="84"/>
      <c r="G717" s="94"/>
    </row>
    <row r="718" spans="3:7" ht="23.25" customHeight="1" x14ac:dyDescent="0.25">
      <c r="C718" s="83"/>
      <c r="D718" s="84"/>
      <c r="E718" s="84"/>
      <c r="F718" s="84"/>
      <c r="G718" s="94"/>
    </row>
    <row r="719" spans="3:7" ht="23.25" customHeight="1" x14ac:dyDescent="0.25">
      <c r="C719" s="83"/>
      <c r="D719" s="84"/>
      <c r="E719" s="84"/>
      <c r="F719" s="84"/>
      <c r="G719" s="94"/>
    </row>
    <row r="720" spans="3:7" ht="23.25" customHeight="1" x14ac:dyDescent="0.25">
      <c r="C720" s="83"/>
      <c r="D720" s="84"/>
      <c r="E720" s="84"/>
      <c r="F720" s="84"/>
      <c r="G720" s="94"/>
    </row>
    <row r="721" spans="3:7" ht="23.25" customHeight="1" x14ac:dyDescent="0.25">
      <c r="C721" s="83"/>
      <c r="D721" s="84"/>
      <c r="E721" s="84"/>
      <c r="F721" s="84"/>
      <c r="G721" s="94"/>
    </row>
    <row r="722" spans="3:7" ht="23.25" customHeight="1" x14ac:dyDescent="0.25">
      <c r="C722" s="83"/>
      <c r="D722" s="84"/>
      <c r="E722" s="84"/>
      <c r="F722" s="84"/>
      <c r="G722" s="94"/>
    </row>
    <row r="723" spans="3:7" ht="23.25" customHeight="1" x14ac:dyDescent="0.25">
      <c r="C723" s="83"/>
      <c r="D723" s="84"/>
      <c r="E723" s="84"/>
      <c r="F723" s="84"/>
      <c r="G723" s="94"/>
    </row>
    <row r="724" spans="3:7" ht="23.25" customHeight="1" x14ac:dyDescent="0.25">
      <c r="C724" s="83"/>
      <c r="D724" s="84"/>
      <c r="E724" s="84"/>
      <c r="F724" s="84"/>
      <c r="G724" s="94"/>
    </row>
    <row r="725" spans="3:7" ht="23.25" customHeight="1" x14ac:dyDescent="0.25">
      <c r="C725" s="83"/>
      <c r="D725" s="84"/>
      <c r="E725" s="84"/>
      <c r="F725" s="84"/>
      <c r="G725" s="94"/>
    </row>
    <row r="726" spans="3:7" ht="23.25" customHeight="1" x14ac:dyDescent="0.25">
      <c r="C726" s="83"/>
      <c r="D726" s="84"/>
      <c r="E726" s="84"/>
      <c r="F726" s="84"/>
      <c r="G726" s="94"/>
    </row>
    <row r="727" spans="3:7" ht="23.25" customHeight="1" x14ac:dyDescent="0.25">
      <c r="C727" s="83"/>
      <c r="D727" s="84"/>
      <c r="E727" s="84"/>
      <c r="F727" s="84"/>
      <c r="G727" s="94"/>
    </row>
    <row r="728" spans="3:7" ht="23.25" customHeight="1" x14ac:dyDescent="0.25">
      <c r="C728" s="83"/>
      <c r="D728" s="84"/>
      <c r="E728" s="84"/>
      <c r="F728" s="84"/>
      <c r="G728" s="94"/>
    </row>
    <row r="729" spans="3:7" ht="23.25" customHeight="1" x14ac:dyDescent="0.25">
      <c r="C729" s="83"/>
      <c r="D729" s="84"/>
      <c r="E729" s="84"/>
      <c r="F729" s="84"/>
      <c r="G729" s="94"/>
    </row>
    <row r="730" spans="3:7" ht="23.25" customHeight="1" x14ac:dyDescent="0.25">
      <c r="C730" s="83"/>
      <c r="D730" s="84"/>
      <c r="E730" s="84"/>
      <c r="F730" s="84"/>
      <c r="G730" s="94"/>
    </row>
    <row r="731" spans="3:7" ht="23.25" customHeight="1" x14ac:dyDescent="0.25">
      <c r="C731" s="83"/>
      <c r="D731" s="84"/>
      <c r="E731" s="84"/>
      <c r="F731" s="84"/>
      <c r="G731" s="94"/>
    </row>
    <row r="732" spans="3:7" ht="23.25" customHeight="1" x14ac:dyDescent="0.25">
      <c r="C732" s="83"/>
      <c r="D732" s="84"/>
      <c r="E732" s="84"/>
      <c r="F732" s="84"/>
      <c r="G732" s="94"/>
    </row>
    <row r="733" spans="3:7" ht="23.25" customHeight="1" x14ac:dyDescent="0.25">
      <c r="C733" s="83"/>
      <c r="D733" s="84"/>
      <c r="E733" s="84"/>
      <c r="F733" s="84"/>
      <c r="G733" s="94"/>
    </row>
    <row r="734" spans="3:7" ht="23.25" customHeight="1" x14ac:dyDescent="0.25">
      <c r="C734" s="83"/>
      <c r="D734" s="84"/>
      <c r="E734" s="84"/>
      <c r="F734" s="84"/>
      <c r="G734" s="94"/>
    </row>
    <row r="735" spans="3:7" ht="23.25" customHeight="1" x14ac:dyDescent="0.25">
      <c r="C735" s="83"/>
      <c r="D735" s="84"/>
      <c r="E735" s="84"/>
      <c r="F735" s="84"/>
      <c r="G735" s="94"/>
    </row>
    <row r="736" spans="3:7" ht="23.25" customHeight="1" x14ac:dyDescent="0.25">
      <c r="C736" s="83"/>
      <c r="D736" s="84"/>
      <c r="E736" s="84"/>
      <c r="F736" s="84"/>
      <c r="G736" s="94"/>
    </row>
    <row r="737" spans="3:7" ht="23.25" customHeight="1" x14ac:dyDescent="0.25">
      <c r="C737" s="83"/>
      <c r="D737" s="84"/>
      <c r="E737" s="84"/>
      <c r="F737" s="84"/>
      <c r="G737" s="94"/>
    </row>
    <row r="738" spans="3:7" ht="23.25" customHeight="1" x14ac:dyDescent="0.25">
      <c r="C738" s="83"/>
      <c r="D738" s="84"/>
      <c r="E738" s="84"/>
      <c r="F738" s="84"/>
      <c r="G738" s="94"/>
    </row>
    <row r="739" spans="3:7" ht="23.25" customHeight="1" x14ac:dyDescent="0.25">
      <c r="C739" s="83"/>
      <c r="D739" s="84"/>
      <c r="E739" s="84"/>
      <c r="F739" s="84"/>
      <c r="G739" s="94"/>
    </row>
    <row r="740" spans="3:7" ht="23.25" customHeight="1" x14ac:dyDescent="0.25">
      <c r="C740" s="83"/>
      <c r="D740" s="84"/>
      <c r="E740" s="84"/>
      <c r="F740" s="84"/>
      <c r="G740" s="94"/>
    </row>
    <row r="741" spans="3:7" ht="23.25" customHeight="1" x14ac:dyDescent="0.25">
      <c r="C741" s="83"/>
      <c r="D741" s="84"/>
      <c r="E741" s="84"/>
      <c r="F741" s="84"/>
      <c r="G741" s="94"/>
    </row>
    <row r="742" spans="3:7" ht="23.25" customHeight="1" x14ac:dyDescent="0.25">
      <c r="C742" s="83"/>
      <c r="D742" s="84"/>
      <c r="E742" s="84"/>
      <c r="F742" s="84"/>
      <c r="G742" s="94"/>
    </row>
    <row r="743" spans="3:7" ht="23.25" customHeight="1" x14ac:dyDescent="0.25">
      <c r="C743" s="83"/>
      <c r="D743" s="84"/>
      <c r="E743" s="84"/>
      <c r="F743" s="84"/>
      <c r="G743" s="94"/>
    </row>
    <row r="744" spans="3:7" ht="23.25" customHeight="1" x14ac:dyDescent="0.25">
      <c r="C744" s="83"/>
      <c r="D744" s="84"/>
      <c r="E744" s="84"/>
      <c r="F744" s="84"/>
      <c r="G744" s="94"/>
    </row>
    <row r="745" spans="3:7" ht="23.25" customHeight="1" x14ac:dyDescent="0.25">
      <c r="C745" s="83"/>
      <c r="D745" s="84"/>
      <c r="E745" s="84"/>
      <c r="F745" s="84"/>
      <c r="G745" s="94"/>
    </row>
    <row r="746" spans="3:7" ht="23.25" customHeight="1" x14ac:dyDescent="0.25">
      <c r="C746" s="83"/>
      <c r="D746" s="84"/>
      <c r="E746" s="84"/>
      <c r="F746" s="84"/>
      <c r="G746" s="94"/>
    </row>
    <row r="747" spans="3:7" ht="23.25" customHeight="1" x14ac:dyDescent="0.25">
      <c r="C747" s="83"/>
      <c r="D747" s="84"/>
      <c r="E747" s="84"/>
      <c r="F747" s="84"/>
      <c r="G747" s="94"/>
    </row>
    <row r="748" spans="3:7" ht="23.25" customHeight="1" x14ac:dyDescent="0.25">
      <c r="C748" s="83"/>
      <c r="D748" s="84"/>
      <c r="E748" s="84"/>
      <c r="F748" s="84"/>
      <c r="G748" s="94"/>
    </row>
    <row r="749" spans="3:7" ht="23.25" customHeight="1" x14ac:dyDescent="0.25">
      <c r="C749" s="83"/>
      <c r="D749" s="84"/>
      <c r="E749" s="84"/>
      <c r="F749" s="84"/>
      <c r="G749" s="94"/>
    </row>
    <row r="750" spans="3:7" ht="23.25" customHeight="1" x14ac:dyDescent="0.25">
      <c r="C750" s="83"/>
      <c r="D750" s="84"/>
      <c r="E750" s="84"/>
      <c r="F750" s="84"/>
      <c r="G750" s="94"/>
    </row>
    <row r="751" spans="3:7" ht="23.25" customHeight="1" x14ac:dyDescent="0.25">
      <c r="C751" s="83"/>
      <c r="D751" s="84"/>
      <c r="E751" s="84"/>
      <c r="F751" s="84"/>
      <c r="G751" s="94"/>
    </row>
    <row r="752" spans="3:7" ht="23.25" customHeight="1" x14ac:dyDescent="0.25">
      <c r="C752" s="83"/>
      <c r="D752" s="84"/>
      <c r="E752" s="84"/>
      <c r="F752" s="84"/>
      <c r="G752" s="94"/>
    </row>
    <row r="753" spans="3:7" ht="23.25" customHeight="1" x14ac:dyDescent="0.25">
      <c r="C753" s="83"/>
      <c r="D753" s="84"/>
      <c r="E753" s="84"/>
      <c r="F753" s="84"/>
      <c r="G753" s="94"/>
    </row>
    <row r="754" spans="3:7" ht="23.25" customHeight="1" x14ac:dyDescent="0.25">
      <c r="C754" s="83"/>
      <c r="D754" s="84"/>
      <c r="E754" s="84"/>
      <c r="F754" s="84"/>
      <c r="G754" s="94"/>
    </row>
    <row r="755" spans="3:7" ht="23.25" customHeight="1" x14ac:dyDescent="0.25">
      <c r="C755" s="83"/>
      <c r="D755" s="84"/>
      <c r="E755" s="84"/>
      <c r="F755" s="84"/>
      <c r="G755" s="94"/>
    </row>
    <row r="756" spans="3:7" ht="23.25" customHeight="1" x14ac:dyDescent="0.25">
      <c r="C756" s="83"/>
      <c r="D756" s="84"/>
      <c r="E756" s="84"/>
      <c r="F756" s="84"/>
      <c r="G756" s="94"/>
    </row>
    <row r="757" spans="3:7" ht="23.25" customHeight="1" x14ac:dyDescent="0.25">
      <c r="C757" s="83"/>
      <c r="D757" s="84"/>
      <c r="E757" s="84"/>
      <c r="F757" s="84"/>
      <c r="G757" s="94"/>
    </row>
    <row r="758" spans="3:7" ht="23.25" customHeight="1" x14ac:dyDescent="0.25">
      <c r="C758" s="83"/>
      <c r="D758" s="84"/>
      <c r="E758" s="84"/>
      <c r="F758" s="84"/>
      <c r="G758" s="94"/>
    </row>
    <row r="759" spans="3:7" ht="23.25" customHeight="1" x14ac:dyDescent="0.25">
      <c r="C759" s="83"/>
      <c r="D759" s="84"/>
      <c r="E759" s="84"/>
      <c r="F759" s="84"/>
      <c r="G759" s="94"/>
    </row>
    <row r="760" spans="3:7" ht="23.25" customHeight="1" x14ac:dyDescent="0.25">
      <c r="C760" s="83"/>
      <c r="D760" s="84"/>
      <c r="E760" s="84"/>
      <c r="F760" s="84"/>
      <c r="G760" s="94"/>
    </row>
    <row r="761" spans="3:7" ht="23.25" customHeight="1" x14ac:dyDescent="0.25">
      <c r="C761" s="83"/>
      <c r="D761" s="84"/>
      <c r="E761" s="84"/>
      <c r="F761" s="84"/>
      <c r="G761" s="94"/>
    </row>
    <row r="762" spans="3:7" ht="23.25" customHeight="1" x14ac:dyDescent="0.25">
      <c r="C762" s="83"/>
      <c r="D762" s="84"/>
      <c r="E762" s="84"/>
      <c r="F762" s="84"/>
      <c r="G762" s="94"/>
    </row>
    <row r="763" spans="3:7" ht="23.25" customHeight="1" x14ac:dyDescent="0.25">
      <c r="C763" s="83"/>
      <c r="D763" s="84"/>
      <c r="E763" s="84"/>
      <c r="F763" s="84"/>
      <c r="G763" s="94"/>
    </row>
    <row r="764" spans="3:7" ht="23.25" customHeight="1" x14ac:dyDescent="0.25">
      <c r="C764" s="83"/>
      <c r="D764" s="84"/>
      <c r="E764" s="84"/>
      <c r="F764" s="84"/>
      <c r="G764" s="94"/>
    </row>
    <row r="765" spans="3:7" ht="23.25" customHeight="1" x14ac:dyDescent="0.25">
      <c r="C765" s="83"/>
      <c r="D765" s="84"/>
      <c r="E765" s="84"/>
      <c r="F765" s="84"/>
      <c r="G765" s="94"/>
    </row>
    <row r="766" spans="3:7" ht="23.25" customHeight="1" x14ac:dyDescent="0.25">
      <c r="C766" s="83"/>
      <c r="D766" s="84"/>
      <c r="E766" s="84"/>
      <c r="F766" s="84"/>
      <c r="G766" s="94"/>
    </row>
    <row r="767" spans="3:7" ht="23.25" customHeight="1" x14ac:dyDescent="0.25">
      <c r="C767" s="83"/>
      <c r="D767" s="84"/>
      <c r="E767" s="84"/>
      <c r="F767" s="84"/>
      <c r="G767" s="94"/>
    </row>
    <row r="768" spans="3:7" ht="23.25" customHeight="1" x14ac:dyDescent="0.25">
      <c r="C768" s="83"/>
      <c r="D768" s="84"/>
      <c r="E768" s="84"/>
      <c r="F768" s="84"/>
      <c r="G768" s="94"/>
    </row>
    <row r="769" spans="3:7" ht="23.25" customHeight="1" x14ac:dyDescent="0.25">
      <c r="C769" s="83"/>
      <c r="D769" s="84"/>
      <c r="E769" s="84"/>
      <c r="F769" s="84"/>
      <c r="G769" s="94"/>
    </row>
    <row r="770" spans="3:7" ht="23.25" customHeight="1" x14ac:dyDescent="0.25">
      <c r="C770" s="83"/>
      <c r="D770" s="84"/>
      <c r="E770" s="84"/>
      <c r="F770" s="84"/>
      <c r="G770" s="94"/>
    </row>
    <row r="771" spans="3:7" ht="23.25" customHeight="1" x14ac:dyDescent="0.25">
      <c r="C771" s="83"/>
      <c r="D771" s="84"/>
      <c r="E771" s="84"/>
      <c r="F771" s="84"/>
      <c r="G771" s="94"/>
    </row>
    <row r="772" spans="3:7" ht="23.25" customHeight="1" x14ac:dyDescent="0.25">
      <c r="C772" s="83"/>
      <c r="D772" s="84"/>
      <c r="E772" s="84"/>
      <c r="F772" s="84"/>
      <c r="G772" s="94"/>
    </row>
    <row r="773" spans="3:7" ht="23.25" customHeight="1" x14ac:dyDescent="0.25">
      <c r="C773" s="83"/>
      <c r="D773" s="84"/>
      <c r="E773" s="84"/>
      <c r="F773" s="84"/>
      <c r="G773" s="94"/>
    </row>
    <row r="774" spans="3:7" ht="23.25" customHeight="1" x14ac:dyDescent="0.25">
      <c r="C774" s="83"/>
      <c r="D774" s="84"/>
      <c r="E774" s="84"/>
      <c r="F774" s="84"/>
      <c r="G774" s="94"/>
    </row>
    <row r="775" spans="3:7" ht="23.25" customHeight="1" x14ac:dyDescent="0.25">
      <c r="C775" s="83"/>
      <c r="D775" s="84"/>
      <c r="E775" s="84"/>
      <c r="F775" s="84"/>
      <c r="G775" s="94"/>
    </row>
    <row r="776" spans="3:7" ht="23.25" customHeight="1" x14ac:dyDescent="0.25">
      <c r="C776" s="83"/>
      <c r="D776" s="84"/>
      <c r="E776" s="84"/>
      <c r="F776" s="84"/>
      <c r="G776" s="94"/>
    </row>
    <row r="777" spans="3:7" ht="23.25" customHeight="1" x14ac:dyDescent="0.25">
      <c r="C777" s="83"/>
      <c r="D777" s="84"/>
      <c r="E777" s="84"/>
      <c r="F777" s="84"/>
      <c r="G777" s="94"/>
    </row>
    <row r="778" spans="3:7" ht="23.25" customHeight="1" x14ac:dyDescent="0.25">
      <c r="C778" s="83"/>
      <c r="E778" s="84"/>
      <c r="F778" s="84"/>
      <c r="G778" s="94"/>
    </row>
    <row r="779" spans="3:7" ht="23.25" customHeight="1" x14ac:dyDescent="0.25">
      <c r="C779" s="83"/>
      <c r="E779" s="84"/>
      <c r="F779" s="84"/>
      <c r="G779" s="94"/>
    </row>
    <row r="780" spans="3:7" ht="23.25" customHeight="1" x14ac:dyDescent="0.25">
      <c r="C780" s="83"/>
      <c r="E780" s="84"/>
      <c r="F780" s="84"/>
      <c r="G780" s="94"/>
    </row>
    <row r="781" spans="3:7" ht="23.25" customHeight="1" x14ac:dyDescent="0.25">
      <c r="C781" s="83"/>
      <c r="E781" s="84"/>
      <c r="F781" s="84"/>
      <c r="G781" s="94"/>
    </row>
    <row r="782" spans="3:7" ht="23.25" customHeight="1" x14ac:dyDescent="0.25">
      <c r="C782" s="83"/>
      <c r="E782" s="84"/>
      <c r="F782" s="84"/>
      <c r="G782" s="94"/>
    </row>
    <row r="783" spans="3:7" ht="23.25" customHeight="1" x14ac:dyDescent="0.25">
      <c r="C783" s="83"/>
      <c r="E783" s="84"/>
      <c r="F783" s="84"/>
      <c r="G783" s="94"/>
    </row>
    <row r="784" spans="3:7" ht="23.25" customHeight="1" x14ac:dyDescent="0.25">
      <c r="C784" s="83"/>
      <c r="E784" s="84"/>
      <c r="F784" s="84"/>
      <c r="G784" s="94"/>
    </row>
    <row r="785" spans="3:7" ht="23.25" customHeight="1" x14ac:dyDescent="0.25">
      <c r="C785" s="83"/>
      <c r="E785" s="84"/>
      <c r="F785" s="84"/>
      <c r="G785" s="94"/>
    </row>
    <row r="786" spans="3:7" ht="23.25" customHeight="1" x14ac:dyDescent="0.25">
      <c r="C786" s="83"/>
      <c r="E786" s="84"/>
      <c r="F786" s="84"/>
      <c r="G786" s="94"/>
    </row>
    <row r="787" spans="3:7" ht="23.25" customHeight="1" x14ac:dyDescent="0.25">
      <c r="C787" s="83"/>
      <c r="E787" s="84"/>
      <c r="F787" s="84"/>
      <c r="G787" s="94"/>
    </row>
    <row r="788" spans="3:7" ht="23.25" customHeight="1" x14ac:dyDescent="0.25">
      <c r="C788" s="83"/>
      <c r="E788" s="84"/>
      <c r="F788" s="84"/>
      <c r="G788" s="94"/>
    </row>
    <row r="789" spans="3:7" ht="23.25" customHeight="1" x14ac:dyDescent="0.25">
      <c r="C789" s="83"/>
      <c r="E789" s="84"/>
      <c r="F789" s="84"/>
      <c r="G789" s="94"/>
    </row>
    <row r="790" spans="3:7" ht="23.25" customHeight="1" x14ac:dyDescent="0.25">
      <c r="C790" s="83"/>
      <c r="E790" s="84"/>
      <c r="F790" s="84"/>
      <c r="G790" s="94"/>
    </row>
    <row r="791" spans="3:7" ht="23.25" customHeight="1" x14ac:dyDescent="0.25">
      <c r="C791" s="83"/>
      <c r="E791" s="84"/>
      <c r="F791" s="84"/>
      <c r="G791" s="94"/>
    </row>
    <row r="792" spans="3:7" ht="23.25" customHeight="1" x14ac:dyDescent="0.25">
      <c r="C792" s="83"/>
      <c r="E792" s="84"/>
      <c r="F792" s="84"/>
      <c r="G792" s="94"/>
    </row>
    <row r="793" spans="3:7" ht="23.25" customHeight="1" x14ac:dyDescent="0.25">
      <c r="C793" s="83"/>
      <c r="E793" s="84"/>
      <c r="F793" s="84"/>
      <c r="G793" s="94"/>
    </row>
    <row r="794" spans="3:7" ht="23.25" customHeight="1" x14ac:dyDescent="0.25">
      <c r="C794" s="83"/>
      <c r="E794" s="84"/>
      <c r="F794" s="84"/>
      <c r="G794" s="94"/>
    </row>
    <row r="795" spans="3:7" ht="23.25" customHeight="1" x14ac:dyDescent="0.25">
      <c r="C795" s="83"/>
      <c r="E795" s="84"/>
      <c r="F795" s="84"/>
      <c r="G795" s="94"/>
    </row>
    <row r="796" spans="3:7" ht="23.25" customHeight="1" x14ac:dyDescent="0.25">
      <c r="C796" s="83"/>
      <c r="D796" s="84"/>
      <c r="E796" s="84"/>
      <c r="F796" s="84"/>
      <c r="G796" s="94"/>
    </row>
    <row r="797" spans="3:7" ht="23.25" customHeight="1" x14ac:dyDescent="0.25">
      <c r="C797" s="83"/>
      <c r="E797" s="84"/>
      <c r="F797" s="84"/>
      <c r="G797" s="94"/>
    </row>
    <row r="798" spans="3:7" ht="23.25" customHeight="1" x14ac:dyDescent="0.25">
      <c r="C798" s="83"/>
      <c r="E798" s="84"/>
      <c r="F798" s="84"/>
      <c r="G798" s="94"/>
    </row>
    <row r="799" spans="3:7" ht="23.25" customHeight="1" x14ac:dyDescent="0.25">
      <c r="C799" s="83"/>
      <c r="E799" s="84"/>
      <c r="F799" s="84"/>
      <c r="G799" s="94"/>
    </row>
    <row r="800" spans="3:7" ht="23.25" customHeight="1" x14ac:dyDescent="0.25">
      <c r="C800" s="83"/>
      <c r="E800" s="84"/>
      <c r="F800" s="84"/>
      <c r="G800" s="94"/>
    </row>
    <row r="801" spans="3:7" ht="23.25" customHeight="1" x14ac:dyDescent="0.25">
      <c r="C801" s="83"/>
      <c r="E801" s="84"/>
      <c r="F801" s="84"/>
      <c r="G801" s="94"/>
    </row>
    <row r="802" spans="3:7" ht="23.25" customHeight="1" x14ac:dyDescent="0.25">
      <c r="C802" s="83"/>
      <c r="E802" s="84"/>
      <c r="F802" s="84"/>
      <c r="G802" s="94"/>
    </row>
    <row r="803" spans="3:7" ht="23.25" customHeight="1" x14ac:dyDescent="0.25">
      <c r="C803" s="83"/>
      <c r="E803" s="84"/>
      <c r="F803" s="84"/>
      <c r="G803" s="94"/>
    </row>
    <row r="804" spans="3:7" ht="23.25" customHeight="1" x14ac:dyDescent="0.25">
      <c r="C804" s="83"/>
      <c r="E804" s="84"/>
      <c r="F804" s="84"/>
      <c r="G804" s="94"/>
    </row>
    <row r="805" spans="3:7" ht="23.25" customHeight="1" x14ac:dyDescent="0.25">
      <c r="C805" s="83"/>
      <c r="E805" s="84"/>
      <c r="F805" s="84"/>
      <c r="G805" s="94"/>
    </row>
    <row r="806" spans="3:7" ht="23.25" customHeight="1" x14ac:dyDescent="0.25">
      <c r="C806" s="83"/>
      <c r="E806" s="84"/>
      <c r="F806" s="84"/>
      <c r="G806" s="94"/>
    </row>
    <row r="807" spans="3:7" ht="23.25" customHeight="1" x14ac:dyDescent="0.25">
      <c r="C807" s="83"/>
      <c r="E807" s="84"/>
      <c r="F807" s="84"/>
      <c r="G807" s="94"/>
    </row>
    <row r="808" spans="3:7" ht="23.25" customHeight="1" x14ac:dyDescent="0.25">
      <c r="C808" s="83"/>
      <c r="E808" s="84"/>
      <c r="F808" s="84"/>
      <c r="G808" s="94"/>
    </row>
    <row r="809" spans="3:7" ht="23.25" customHeight="1" x14ac:dyDescent="0.25">
      <c r="C809" s="83"/>
      <c r="E809" s="84"/>
      <c r="F809" s="84"/>
      <c r="G809" s="94"/>
    </row>
    <row r="810" spans="3:7" ht="23.25" customHeight="1" x14ac:dyDescent="0.25">
      <c r="C810" s="83"/>
      <c r="E810" s="84"/>
      <c r="F810" s="84"/>
      <c r="G810" s="94"/>
    </row>
    <row r="811" spans="3:7" ht="23.25" customHeight="1" x14ac:dyDescent="0.25">
      <c r="C811" s="83"/>
      <c r="E811" s="84"/>
      <c r="F811" s="84"/>
      <c r="G811" s="94"/>
    </row>
    <row r="812" spans="3:7" ht="23.25" customHeight="1" x14ac:dyDescent="0.25">
      <c r="C812" s="83"/>
      <c r="E812" s="84"/>
      <c r="F812" s="84"/>
      <c r="G812" s="94"/>
    </row>
    <row r="813" spans="3:7" ht="23.25" customHeight="1" x14ac:dyDescent="0.25">
      <c r="C813" s="83"/>
      <c r="E813" s="84"/>
      <c r="F813" s="84"/>
      <c r="G813" s="94"/>
    </row>
    <row r="814" spans="3:7" ht="23.25" customHeight="1" x14ac:dyDescent="0.25">
      <c r="C814" s="83"/>
      <c r="E814" s="84"/>
      <c r="F814" s="84"/>
      <c r="G814" s="94"/>
    </row>
    <row r="815" spans="3:7" ht="23.25" customHeight="1" x14ac:dyDescent="0.25">
      <c r="C815" s="83"/>
      <c r="E815" s="84"/>
      <c r="F815" s="84"/>
      <c r="G815" s="94"/>
    </row>
    <row r="816" spans="3:7" ht="23.25" customHeight="1" x14ac:dyDescent="0.25">
      <c r="C816" s="83"/>
      <c r="E816" s="84"/>
      <c r="F816" s="84"/>
      <c r="G816" s="94"/>
    </row>
    <row r="817" spans="3:7" ht="23.25" customHeight="1" x14ac:dyDescent="0.25">
      <c r="C817" s="83"/>
      <c r="E817" s="84"/>
      <c r="F817" s="84"/>
      <c r="G817" s="94"/>
    </row>
    <row r="818" spans="3:7" ht="23.25" customHeight="1" x14ac:dyDescent="0.25">
      <c r="C818" s="83"/>
      <c r="D818" s="84"/>
      <c r="E818" s="84"/>
      <c r="F818" s="84"/>
      <c r="G818" s="94"/>
    </row>
    <row r="819" spans="3:7" ht="23.25" customHeight="1" x14ac:dyDescent="0.25">
      <c r="C819" s="83"/>
      <c r="E819" s="84"/>
      <c r="F819" s="84"/>
      <c r="G819" s="94"/>
    </row>
    <row r="820" spans="3:7" ht="23.25" customHeight="1" x14ac:dyDescent="0.25">
      <c r="C820" s="83"/>
      <c r="D820" s="84"/>
      <c r="E820" s="84"/>
      <c r="F820" s="84"/>
      <c r="G820" s="94"/>
    </row>
    <row r="821" spans="3:7" ht="23.25" customHeight="1" x14ac:dyDescent="0.25">
      <c r="C821" s="83"/>
      <c r="E821" s="84"/>
      <c r="F821" s="84"/>
      <c r="G821" s="94"/>
    </row>
    <row r="822" spans="3:7" ht="23.25" customHeight="1" x14ac:dyDescent="0.25">
      <c r="C822" s="83"/>
      <c r="E822" s="84"/>
      <c r="F822" s="84"/>
      <c r="G822" s="94"/>
    </row>
    <row r="823" spans="3:7" ht="23.25" customHeight="1" x14ac:dyDescent="0.25">
      <c r="C823" s="83"/>
      <c r="E823" s="84"/>
      <c r="F823" s="84"/>
      <c r="G823" s="94"/>
    </row>
    <row r="824" spans="3:7" ht="23.25" customHeight="1" x14ac:dyDescent="0.25">
      <c r="C824" s="83"/>
      <c r="E824" s="84"/>
      <c r="F824" s="84"/>
      <c r="G824" s="94"/>
    </row>
    <row r="825" spans="3:7" ht="23.25" customHeight="1" x14ac:dyDescent="0.25">
      <c r="C825" s="83"/>
      <c r="D825" s="84"/>
      <c r="E825" s="84"/>
      <c r="F825" s="84"/>
      <c r="G825" s="94"/>
    </row>
    <row r="826" spans="3:7" ht="23.25" customHeight="1" x14ac:dyDescent="0.25">
      <c r="C826" s="83"/>
      <c r="D826" s="84"/>
      <c r="E826" s="84"/>
      <c r="F826" s="84"/>
      <c r="G826" s="94"/>
    </row>
    <row r="827" spans="3:7" ht="23.25" customHeight="1" x14ac:dyDescent="0.25">
      <c r="C827" s="83"/>
      <c r="E827" s="84"/>
      <c r="F827" s="84"/>
      <c r="G827" s="94"/>
    </row>
    <row r="828" spans="3:7" ht="23.25" customHeight="1" x14ac:dyDescent="0.25">
      <c r="C828" s="83"/>
      <c r="E828" s="84"/>
      <c r="F828" s="84"/>
      <c r="G828" s="94"/>
    </row>
    <row r="829" spans="3:7" ht="23.25" customHeight="1" x14ac:dyDescent="0.25">
      <c r="C829" s="83"/>
      <c r="D829" s="84"/>
      <c r="E829" s="84"/>
      <c r="F829" s="84"/>
      <c r="G829" s="94"/>
    </row>
    <row r="830" spans="3:7" ht="23.25" customHeight="1" x14ac:dyDescent="0.25">
      <c r="C830" s="83"/>
      <c r="E830" s="84"/>
      <c r="F830" s="84"/>
      <c r="G830" s="94"/>
    </row>
    <row r="831" spans="3:7" ht="23.25" customHeight="1" x14ac:dyDescent="0.25">
      <c r="C831" s="83"/>
      <c r="E831" s="84"/>
      <c r="F831" s="84"/>
      <c r="G831" s="94"/>
    </row>
    <row r="832" spans="3:7" ht="23.25" customHeight="1" x14ac:dyDescent="0.25">
      <c r="C832" s="83"/>
      <c r="E832" s="84"/>
      <c r="F832" s="84"/>
      <c r="G832" s="94"/>
    </row>
    <row r="833" spans="3:7" ht="23.25" customHeight="1" x14ac:dyDescent="0.25">
      <c r="C833" s="83"/>
      <c r="D833" s="84"/>
      <c r="E833" s="84"/>
      <c r="F833" s="84"/>
      <c r="G833" s="94"/>
    </row>
    <row r="834" spans="3:7" ht="23.25" customHeight="1" x14ac:dyDescent="0.25">
      <c r="C834" s="83"/>
      <c r="E834" s="84"/>
      <c r="F834" s="84"/>
      <c r="G834" s="94"/>
    </row>
    <row r="835" spans="3:7" ht="23.25" customHeight="1" x14ac:dyDescent="0.25">
      <c r="C835" s="83"/>
      <c r="D835" s="84"/>
      <c r="E835" s="84"/>
      <c r="F835" s="84"/>
      <c r="G835" s="94"/>
    </row>
    <row r="836" spans="3:7" ht="23.25" customHeight="1" x14ac:dyDescent="0.25">
      <c r="C836" s="83"/>
      <c r="D836" s="84"/>
      <c r="E836" s="84"/>
      <c r="F836" s="84"/>
      <c r="G836" s="94"/>
    </row>
    <row r="837" spans="3:7" ht="23.25" customHeight="1" x14ac:dyDescent="0.25">
      <c r="C837" s="83"/>
      <c r="E837" s="84"/>
      <c r="F837" s="84"/>
      <c r="G837" s="94"/>
    </row>
    <row r="838" spans="3:7" ht="23.25" customHeight="1" x14ac:dyDescent="0.25">
      <c r="C838" s="83"/>
      <c r="D838" s="84"/>
      <c r="E838" s="84"/>
      <c r="F838" s="84"/>
      <c r="G838" s="94"/>
    </row>
    <row r="839" spans="3:7" ht="23.25" customHeight="1" x14ac:dyDescent="0.25">
      <c r="C839" s="83"/>
      <c r="E839" s="84"/>
      <c r="F839" s="84"/>
      <c r="G839" s="94"/>
    </row>
    <row r="840" spans="3:7" ht="23.25" customHeight="1" x14ac:dyDescent="0.25">
      <c r="C840" s="83"/>
      <c r="D840" s="85"/>
      <c r="E840" s="84"/>
      <c r="F840" s="84"/>
      <c r="G840" s="94"/>
    </row>
    <row r="841" spans="3:7" ht="23.25" customHeight="1" x14ac:dyDescent="0.25">
      <c r="C841" s="83"/>
      <c r="D841" s="85"/>
      <c r="E841" s="84"/>
      <c r="F841" s="84"/>
      <c r="G841" s="94"/>
    </row>
    <row r="842" spans="3:7" ht="23.25" customHeight="1" x14ac:dyDescent="0.25">
      <c r="C842" s="83"/>
      <c r="D842" s="85"/>
      <c r="E842" s="84"/>
      <c r="F842" s="84"/>
      <c r="G842" s="94"/>
    </row>
    <row r="843" spans="3:7" ht="23.25" customHeight="1" x14ac:dyDescent="0.25">
      <c r="C843" s="83"/>
      <c r="D843" s="85"/>
      <c r="E843" s="84"/>
      <c r="F843" s="84"/>
      <c r="G843" s="94"/>
    </row>
    <row r="844" spans="3:7" ht="23.25" customHeight="1" x14ac:dyDescent="0.25">
      <c r="C844" s="83"/>
      <c r="D844" s="85"/>
      <c r="E844" s="84"/>
      <c r="F844" s="84"/>
      <c r="G844" s="94"/>
    </row>
    <row r="845" spans="3:7" ht="23.25" customHeight="1" x14ac:dyDescent="0.25">
      <c r="C845" s="83"/>
      <c r="D845" s="85"/>
      <c r="E845" s="84"/>
      <c r="F845" s="84"/>
      <c r="G845" s="94"/>
    </row>
    <row r="846" spans="3:7" ht="23.25" customHeight="1" x14ac:dyDescent="0.25">
      <c r="C846" s="83"/>
      <c r="D846" s="85"/>
      <c r="E846" s="84"/>
      <c r="F846" s="84"/>
      <c r="G846" s="94"/>
    </row>
    <row r="847" spans="3:7" ht="23.25" customHeight="1" x14ac:dyDescent="0.25">
      <c r="C847" s="83"/>
      <c r="D847" s="85"/>
      <c r="E847" s="84"/>
      <c r="F847" s="84"/>
      <c r="G847" s="94"/>
    </row>
    <row r="848" spans="3:7" ht="23.25" customHeight="1" x14ac:dyDescent="0.25">
      <c r="C848" s="83"/>
      <c r="D848" s="85"/>
      <c r="E848" s="84"/>
      <c r="F848" s="84"/>
      <c r="G848" s="94"/>
    </row>
    <row r="849" spans="3:7" ht="23.25" customHeight="1" x14ac:dyDescent="0.25">
      <c r="C849" s="83"/>
      <c r="D849" s="85"/>
      <c r="E849" s="84"/>
      <c r="F849" s="84"/>
      <c r="G849" s="94"/>
    </row>
    <row r="850" spans="3:7" ht="23.25" customHeight="1" x14ac:dyDescent="0.25">
      <c r="C850" s="83"/>
      <c r="D850" s="85"/>
      <c r="E850" s="84"/>
      <c r="F850" s="84"/>
      <c r="G850" s="94"/>
    </row>
    <row r="851" spans="3:7" ht="23.25" customHeight="1" x14ac:dyDescent="0.25">
      <c r="C851" s="83"/>
      <c r="D851" s="85"/>
      <c r="E851" s="84"/>
      <c r="F851" s="84"/>
      <c r="G851" s="94"/>
    </row>
    <row r="852" spans="3:7" ht="23.25" customHeight="1" x14ac:dyDescent="0.25">
      <c r="C852" s="83"/>
      <c r="D852" s="85"/>
      <c r="E852" s="84"/>
      <c r="F852" s="84"/>
      <c r="G852" s="94"/>
    </row>
    <row r="853" spans="3:7" ht="23.25" customHeight="1" x14ac:dyDescent="0.25">
      <c r="C853" s="83"/>
      <c r="D853" s="85"/>
      <c r="E853" s="84"/>
      <c r="F853" s="84"/>
      <c r="G853" s="94"/>
    </row>
    <row r="854" spans="3:7" ht="23.25" customHeight="1" x14ac:dyDescent="0.25">
      <c r="C854" s="83"/>
      <c r="D854" s="85"/>
      <c r="E854" s="84"/>
      <c r="F854" s="84"/>
      <c r="G854" s="94"/>
    </row>
    <row r="855" spans="3:7" ht="23.25" customHeight="1" x14ac:dyDescent="0.25">
      <c r="C855" s="83"/>
      <c r="D855" s="85"/>
      <c r="E855" s="84"/>
      <c r="F855" s="84"/>
      <c r="G855" s="94"/>
    </row>
    <row r="856" spans="3:7" ht="23.25" customHeight="1" x14ac:dyDescent="0.25">
      <c r="C856" s="83"/>
      <c r="D856" s="85"/>
      <c r="E856" s="84"/>
      <c r="F856" s="84"/>
      <c r="G856" s="94"/>
    </row>
    <row r="857" spans="3:7" ht="23.25" customHeight="1" x14ac:dyDescent="0.25">
      <c r="C857" s="83"/>
      <c r="D857" s="85"/>
      <c r="E857" s="84"/>
      <c r="F857" s="84"/>
      <c r="G857" s="94"/>
    </row>
    <row r="858" spans="3:7" ht="23.25" customHeight="1" x14ac:dyDescent="0.25">
      <c r="C858" s="83"/>
      <c r="D858" s="85"/>
      <c r="E858" s="84"/>
      <c r="F858" s="84"/>
      <c r="G858" s="94"/>
    </row>
    <row r="859" spans="3:7" ht="23.25" customHeight="1" x14ac:dyDescent="0.25">
      <c r="C859" s="83"/>
      <c r="D859" s="85"/>
      <c r="E859" s="84"/>
      <c r="F859" s="84"/>
      <c r="G859" s="94"/>
    </row>
    <row r="860" spans="3:7" ht="23.25" customHeight="1" x14ac:dyDescent="0.25">
      <c r="C860" s="83"/>
      <c r="D860" s="85"/>
      <c r="E860" s="84"/>
      <c r="F860" s="84"/>
      <c r="G860" s="94"/>
    </row>
    <row r="861" spans="3:7" ht="23.25" customHeight="1" x14ac:dyDescent="0.25">
      <c r="C861" s="83"/>
      <c r="D861" s="85"/>
      <c r="E861" s="84"/>
      <c r="F861" s="84"/>
      <c r="G861" s="94"/>
    </row>
    <row r="862" spans="3:7" ht="23.25" customHeight="1" x14ac:dyDescent="0.25">
      <c r="C862" s="83"/>
      <c r="D862" s="85"/>
      <c r="E862" s="84"/>
      <c r="F862" s="84"/>
      <c r="G862" s="94"/>
    </row>
    <row r="863" spans="3:7" ht="23.25" customHeight="1" x14ac:dyDescent="0.25">
      <c r="C863" s="83"/>
      <c r="D863" s="85"/>
      <c r="E863" s="84"/>
      <c r="F863" s="84"/>
      <c r="G863" s="94"/>
    </row>
    <row r="864" spans="3:7" ht="23.25" customHeight="1" x14ac:dyDescent="0.25">
      <c r="C864" s="83"/>
      <c r="D864" s="85"/>
      <c r="E864" s="84"/>
      <c r="F864" s="84"/>
      <c r="G864" s="94"/>
    </row>
    <row r="865" spans="3:7" ht="23.25" customHeight="1" x14ac:dyDescent="0.25">
      <c r="C865" s="83"/>
      <c r="D865" s="85"/>
      <c r="E865" s="84"/>
      <c r="F865" s="84"/>
      <c r="G865" s="94"/>
    </row>
    <row r="866" spans="3:7" ht="23.25" customHeight="1" x14ac:dyDescent="0.25">
      <c r="C866" s="83"/>
      <c r="D866" s="85"/>
      <c r="E866" s="84"/>
      <c r="F866" s="84"/>
      <c r="G866" s="94"/>
    </row>
    <row r="867" spans="3:7" ht="23.25" customHeight="1" x14ac:dyDescent="0.25">
      <c r="C867" s="83"/>
      <c r="D867" s="85"/>
      <c r="E867" s="84"/>
      <c r="F867" s="84"/>
      <c r="G867" s="94"/>
    </row>
    <row r="868" spans="3:7" ht="23.25" customHeight="1" x14ac:dyDescent="0.25">
      <c r="C868" s="83"/>
      <c r="D868" s="85"/>
      <c r="E868" s="84"/>
      <c r="F868" s="84"/>
      <c r="G868" s="94"/>
    </row>
    <row r="869" spans="3:7" ht="23.25" customHeight="1" x14ac:dyDescent="0.25">
      <c r="C869" s="83"/>
      <c r="D869" s="85"/>
      <c r="E869" s="84"/>
      <c r="F869" s="84"/>
      <c r="G869" s="94"/>
    </row>
    <row r="870" spans="3:7" ht="23.25" customHeight="1" x14ac:dyDescent="0.25">
      <c r="C870" s="83"/>
      <c r="D870" s="85"/>
      <c r="E870" s="84"/>
      <c r="F870" s="84"/>
      <c r="G870" s="94"/>
    </row>
    <row r="871" spans="3:7" ht="23.25" customHeight="1" x14ac:dyDescent="0.25">
      <c r="C871" s="83"/>
      <c r="D871" s="85"/>
      <c r="E871" s="84"/>
      <c r="F871" s="84"/>
      <c r="G871" s="94"/>
    </row>
    <row r="872" spans="3:7" ht="23.25" customHeight="1" x14ac:dyDescent="0.25">
      <c r="C872" s="83"/>
      <c r="D872" s="85"/>
      <c r="E872" s="84"/>
      <c r="F872" s="84"/>
      <c r="G872" s="94"/>
    </row>
    <row r="873" spans="3:7" ht="23.25" customHeight="1" x14ac:dyDescent="0.25">
      <c r="C873" s="83"/>
      <c r="D873" s="85"/>
      <c r="E873" s="84"/>
      <c r="F873" s="84"/>
      <c r="G873" s="94"/>
    </row>
    <row r="874" spans="3:7" ht="23.25" customHeight="1" x14ac:dyDescent="0.25">
      <c r="C874" s="83"/>
      <c r="D874" s="85"/>
      <c r="E874" s="84"/>
      <c r="F874" s="84"/>
      <c r="G874" s="94"/>
    </row>
    <row r="875" spans="3:7" ht="23.25" customHeight="1" x14ac:dyDescent="0.25">
      <c r="C875" s="83"/>
      <c r="D875" s="85"/>
      <c r="E875" s="84"/>
      <c r="F875" s="84"/>
      <c r="G875" s="94"/>
    </row>
    <row r="876" spans="3:7" ht="23.25" customHeight="1" x14ac:dyDescent="0.25">
      <c r="C876" s="83"/>
      <c r="D876" s="85"/>
      <c r="E876" s="84"/>
      <c r="F876" s="84"/>
      <c r="G876" s="94"/>
    </row>
    <row r="877" spans="3:7" ht="23.25" customHeight="1" x14ac:dyDescent="0.25">
      <c r="C877" s="83"/>
      <c r="D877" s="85"/>
      <c r="E877" s="84"/>
      <c r="F877" s="84"/>
      <c r="G877" s="94"/>
    </row>
    <row r="878" spans="3:7" ht="23.25" customHeight="1" x14ac:dyDescent="0.25">
      <c r="C878" s="83"/>
      <c r="D878" s="85"/>
      <c r="E878" s="84"/>
      <c r="F878" s="84"/>
      <c r="G878" s="94"/>
    </row>
    <row r="879" spans="3:7" ht="23.25" customHeight="1" x14ac:dyDescent="0.25">
      <c r="C879" s="83"/>
      <c r="D879" s="85"/>
      <c r="E879" s="84"/>
      <c r="F879" s="84"/>
      <c r="G879" s="94"/>
    </row>
    <row r="880" spans="3:7" ht="23.25" customHeight="1" x14ac:dyDescent="0.25">
      <c r="C880" s="83"/>
      <c r="D880" s="85"/>
      <c r="E880" s="84"/>
      <c r="F880" s="84"/>
      <c r="G880" s="94"/>
    </row>
    <row r="881" spans="3:7" ht="23.25" customHeight="1" x14ac:dyDescent="0.25">
      <c r="C881" s="83"/>
      <c r="D881" s="85"/>
      <c r="E881" s="84"/>
      <c r="F881" s="84"/>
      <c r="G881" s="94"/>
    </row>
    <row r="882" spans="3:7" ht="23.25" customHeight="1" x14ac:dyDescent="0.25">
      <c r="C882" s="83"/>
      <c r="D882" s="85"/>
      <c r="E882" s="84"/>
      <c r="F882" s="84"/>
      <c r="G882" s="94"/>
    </row>
    <row r="883" spans="3:7" ht="23.25" customHeight="1" x14ac:dyDescent="0.25">
      <c r="C883" s="83"/>
      <c r="D883" s="85"/>
      <c r="E883" s="84"/>
      <c r="F883" s="84"/>
      <c r="G883" s="94"/>
    </row>
    <row r="884" spans="3:7" ht="23.25" customHeight="1" x14ac:dyDescent="0.25">
      <c r="C884" s="83"/>
      <c r="D884" s="85"/>
      <c r="E884" s="84"/>
      <c r="F884" s="84"/>
      <c r="G884" s="94"/>
    </row>
    <row r="885" spans="3:7" ht="23.25" customHeight="1" x14ac:dyDescent="0.25">
      <c r="C885" s="83"/>
      <c r="D885" s="85"/>
      <c r="E885" s="84"/>
      <c r="F885" s="84"/>
      <c r="G885" s="94"/>
    </row>
    <row r="886" spans="3:7" ht="23.25" customHeight="1" x14ac:dyDescent="0.25">
      <c r="C886" s="83"/>
      <c r="D886" s="85"/>
      <c r="E886" s="84"/>
      <c r="F886" s="84"/>
      <c r="G886" s="94"/>
    </row>
    <row r="887" spans="3:7" ht="23.25" customHeight="1" x14ac:dyDescent="0.25">
      <c r="C887" s="83"/>
      <c r="D887" s="84"/>
      <c r="E887" s="84"/>
      <c r="F887" s="84"/>
      <c r="G887" s="94"/>
    </row>
    <row r="888" spans="3:7" ht="23.25" customHeight="1" x14ac:dyDescent="0.25">
      <c r="C888" s="83"/>
      <c r="D888" s="84"/>
      <c r="E888" s="84"/>
      <c r="F888" s="84"/>
      <c r="G888" s="94"/>
    </row>
    <row r="889" spans="3:7" ht="23.25" customHeight="1" x14ac:dyDescent="0.25">
      <c r="C889" s="83"/>
      <c r="D889" s="84"/>
      <c r="E889" s="84"/>
      <c r="F889" s="84"/>
      <c r="G889" s="94"/>
    </row>
    <row r="890" spans="3:7" ht="23.25" customHeight="1" x14ac:dyDescent="0.25">
      <c r="C890" s="83"/>
      <c r="D890" s="84"/>
      <c r="E890" s="84"/>
      <c r="F890" s="84"/>
      <c r="G890" s="94"/>
    </row>
    <row r="891" spans="3:7" ht="23.25" customHeight="1" x14ac:dyDescent="0.25">
      <c r="C891" s="83"/>
      <c r="D891" s="84"/>
      <c r="E891" s="84"/>
      <c r="F891" s="84"/>
      <c r="G891" s="94"/>
    </row>
    <row r="892" spans="3:7" ht="23.25" customHeight="1" x14ac:dyDescent="0.25">
      <c r="C892" s="83"/>
      <c r="D892" s="84"/>
      <c r="E892" s="84"/>
      <c r="F892" s="84"/>
      <c r="G892" s="94"/>
    </row>
    <row r="893" spans="3:7" ht="23.25" customHeight="1" x14ac:dyDescent="0.25">
      <c r="C893" s="83"/>
      <c r="D893" s="84"/>
      <c r="E893" s="84"/>
      <c r="F893" s="84"/>
      <c r="G893" s="94"/>
    </row>
    <row r="894" spans="3:7" ht="23.25" customHeight="1" x14ac:dyDescent="0.25">
      <c r="C894" s="83"/>
      <c r="D894" s="84"/>
      <c r="E894" s="84"/>
      <c r="F894" s="84"/>
      <c r="G894" s="94"/>
    </row>
    <row r="895" spans="3:7" ht="23.25" customHeight="1" x14ac:dyDescent="0.25">
      <c r="C895" s="83"/>
      <c r="D895" s="84"/>
      <c r="E895" s="84"/>
      <c r="F895" s="84"/>
      <c r="G895" s="94"/>
    </row>
    <row r="896" spans="3:7" ht="23.25" customHeight="1" x14ac:dyDescent="0.25">
      <c r="C896" s="83"/>
      <c r="D896" s="84"/>
      <c r="E896" s="84"/>
      <c r="F896" s="84"/>
      <c r="G896" s="94"/>
    </row>
    <row r="897" spans="3:7" ht="23.25" customHeight="1" x14ac:dyDescent="0.25">
      <c r="C897" s="83"/>
      <c r="D897" s="84"/>
      <c r="E897" s="84"/>
      <c r="F897" s="84"/>
      <c r="G897" s="94"/>
    </row>
    <row r="898" spans="3:7" ht="23.25" customHeight="1" x14ac:dyDescent="0.25">
      <c r="C898" s="83"/>
      <c r="D898" s="84"/>
      <c r="E898" s="84"/>
      <c r="F898" s="84"/>
      <c r="G898" s="94"/>
    </row>
    <row r="899" spans="3:7" ht="23.25" customHeight="1" x14ac:dyDescent="0.25">
      <c r="C899" s="83"/>
      <c r="D899" s="84"/>
      <c r="E899" s="84"/>
      <c r="F899" s="84"/>
      <c r="G899" s="94"/>
    </row>
    <row r="900" spans="3:7" ht="23.25" customHeight="1" x14ac:dyDescent="0.25">
      <c r="C900" s="83"/>
      <c r="D900" s="84"/>
      <c r="E900" s="84"/>
      <c r="F900" s="84"/>
      <c r="G900" s="94"/>
    </row>
    <row r="901" spans="3:7" ht="23.25" customHeight="1" x14ac:dyDescent="0.25">
      <c r="C901" s="83"/>
      <c r="D901" s="84"/>
      <c r="E901" s="84"/>
      <c r="F901" s="84"/>
      <c r="G901" s="94"/>
    </row>
    <row r="902" spans="3:7" ht="23.25" customHeight="1" x14ac:dyDescent="0.25">
      <c r="C902" s="83"/>
      <c r="D902" s="84"/>
      <c r="E902" s="84"/>
      <c r="F902" s="84"/>
      <c r="G902" s="94"/>
    </row>
    <row r="903" spans="3:7" ht="23.25" customHeight="1" x14ac:dyDescent="0.25">
      <c r="C903" s="83"/>
      <c r="D903" s="84"/>
      <c r="E903" s="84"/>
      <c r="F903" s="84"/>
      <c r="G903" s="94"/>
    </row>
    <row r="904" spans="3:7" ht="23.25" customHeight="1" x14ac:dyDescent="0.25">
      <c r="C904" s="83"/>
      <c r="D904" s="84"/>
      <c r="E904" s="84"/>
      <c r="F904" s="84"/>
      <c r="G904" s="94"/>
    </row>
    <row r="905" spans="3:7" ht="23.25" customHeight="1" x14ac:dyDescent="0.25">
      <c r="C905" s="83"/>
      <c r="D905" s="84"/>
      <c r="E905" s="84"/>
      <c r="F905" s="84"/>
      <c r="G905" s="94"/>
    </row>
    <row r="906" spans="3:7" ht="23.25" customHeight="1" x14ac:dyDescent="0.25">
      <c r="C906" s="83"/>
      <c r="D906" s="84"/>
      <c r="E906" s="84"/>
      <c r="F906" s="84"/>
      <c r="G906" s="94"/>
    </row>
    <row r="907" spans="3:7" ht="23.25" customHeight="1" x14ac:dyDescent="0.25">
      <c r="C907" s="83"/>
      <c r="D907" s="84"/>
      <c r="E907" s="84"/>
      <c r="F907" s="84"/>
      <c r="G907" s="94"/>
    </row>
    <row r="908" spans="3:7" ht="23.25" customHeight="1" x14ac:dyDescent="0.25">
      <c r="C908" s="83"/>
      <c r="D908" s="84"/>
      <c r="E908" s="84"/>
      <c r="F908" s="84"/>
      <c r="G908" s="94"/>
    </row>
    <row r="909" spans="3:7" ht="23.25" customHeight="1" x14ac:dyDescent="0.25">
      <c r="C909" s="83"/>
      <c r="D909" s="84"/>
      <c r="E909" s="84"/>
      <c r="F909" s="84"/>
      <c r="G909" s="94"/>
    </row>
    <row r="910" spans="3:7" ht="23.25" customHeight="1" x14ac:dyDescent="0.25">
      <c r="C910" s="83"/>
      <c r="D910" s="84"/>
      <c r="E910" s="84"/>
      <c r="F910" s="84"/>
      <c r="G910" s="94"/>
    </row>
    <row r="911" spans="3:7" ht="23.25" customHeight="1" x14ac:dyDescent="0.25">
      <c r="C911" s="83"/>
      <c r="D911" s="84"/>
      <c r="E911" s="84"/>
      <c r="F911" s="84"/>
      <c r="G911" s="94"/>
    </row>
    <row r="912" spans="3:7" ht="23.25" customHeight="1" x14ac:dyDescent="0.25">
      <c r="C912" s="83"/>
      <c r="D912" s="84"/>
      <c r="E912" s="84"/>
      <c r="F912" s="84"/>
      <c r="G912" s="94"/>
    </row>
    <row r="913" spans="3:7" ht="23.25" customHeight="1" x14ac:dyDescent="0.25">
      <c r="C913" s="83"/>
      <c r="D913" s="84"/>
      <c r="E913" s="84"/>
      <c r="F913" s="84"/>
      <c r="G913" s="94"/>
    </row>
    <row r="914" spans="3:7" ht="23.25" customHeight="1" x14ac:dyDescent="0.25">
      <c r="C914" s="83"/>
      <c r="D914" s="84"/>
      <c r="E914" s="84"/>
      <c r="F914" s="84"/>
      <c r="G914" s="94"/>
    </row>
    <row r="915" spans="3:7" ht="23.25" customHeight="1" x14ac:dyDescent="0.25">
      <c r="C915" s="83"/>
      <c r="D915" s="84"/>
      <c r="E915" s="84"/>
      <c r="F915" s="84"/>
      <c r="G915" s="94"/>
    </row>
    <row r="916" spans="3:7" ht="23.25" customHeight="1" x14ac:dyDescent="0.25">
      <c r="C916" s="83"/>
      <c r="D916" s="84"/>
      <c r="E916" s="84"/>
      <c r="F916" s="84"/>
      <c r="G916" s="94"/>
    </row>
    <row r="917" spans="3:7" ht="23.25" customHeight="1" x14ac:dyDescent="0.25">
      <c r="C917" s="83"/>
      <c r="D917" s="84"/>
      <c r="E917" s="84"/>
      <c r="F917" s="84"/>
      <c r="G917" s="94"/>
    </row>
    <row r="918" spans="3:7" ht="23.25" customHeight="1" x14ac:dyDescent="0.25">
      <c r="C918" s="83"/>
      <c r="D918" s="84"/>
      <c r="E918" s="84"/>
      <c r="F918" s="84"/>
      <c r="G918" s="94"/>
    </row>
    <row r="919" spans="3:7" ht="23.25" customHeight="1" x14ac:dyDescent="0.25">
      <c r="C919" s="83"/>
      <c r="D919" s="84"/>
      <c r="E919" s="84"/>
      <c r="F919" s="84"/>
      <c r="G919" s="94"/>
    </row>
    <row r="920" spans="3:7" ht="23.25" customHeight="1" x14ac:dyDescent="0.25">
      <c r="C920" s="83"/>
      <c r="D920" s="84"/>
      <c r="E920" s="84"/>
      <c r="F920" s="84"/>
      <c r="G920" s="94"/>
    </row>
    <row r="921" spans="3:7" ht="23.25" customHeight="1" x14ac:dyDescent="0.25">
      <c r="C921" s="83"/>
      <c r="D921" s="84"/>
      <c r="E921" s="84"/>
      <c r="F921" s="84"/>
      <c r="G921" s="94"/>
    </row>
    <row r="922" spans="3:7" ht="23.25" customHeight="1" x14ac:dyDescent="0.25">
      <c r="C922" s="83"/>
      <c r="D922" s="84"/>
      <c r="E922" s="84"/>
      <c r="F922" s="84"/>
      <c r="G922" s="94"/>
    </row>
    <row r="923" spans="3:7" ht="23.25" customHeight="1" x14ac:dyDescent="0.25">
      <c r="C923" s="83"/>
      <c r="D923" s="84"/>
      <c r="E923" s="84"/>
      <c r="F923" s="84"/>
      <c r="G923" s="94"/>
    </row>
    <row r="924" spans="3:7" ht="23.25" customHeight="1" x14ac:dyDescent="0.25">
      <c r="C924" s="83"/>
      <c r="D924" s="84"/>
      <c r="E924" s="84"/>
      <c r="F924" s="84"/>
      <c r="G924" s="94"/>
    </row>
    <row r="925" spans="3:7" ht="23.25" customHeight="1" x14ac:dyDescent="0.25">
      <c r="C925" s="83"/>
      <c r="D925" s="84"/>
      <c r="E925" s="84"/>
      <c r="F925" s="84"/>
      <c r="G925" s="94"/>
    </row>
    <row r="926" spans="3:7" ht="23.25" customHeight="1" x14ac:dyDescent="0.25">
      <c r="C926" s="83"/>
      <c r="D926" s="84"/>
      <c r="E926" s="84"/>
      <c r="F926" s="84"/>
      <c r="G926" s="94"/>
    </row>
    <row r="927" spans="3:7" ht="23.25" customHeight="1" x14ac:dyDescent="0.25">
      <c r="C927" s="83"/>
      <c r="D927" s="84"/>
      <c r="E927" s="84"/>
      <c r="F927" s="84"/>
      <c r="G927" s="94"/>
    </row>
    <row r="928" spans="3:7" ht="23.25" customHeight="1" x14ac:dyDescent="0.25">
      <c r="C928" s="83"/>
      <c r="D928" s="84"/>
      <c r="E928" s="84"/>
      <c r="F928" s="84"/>
      <c r="G928" s="94"/>
    </row>
    <row r="929" spans="3:7" ht="23.25" customHeight="1" x14ac:dyDescent="0.25">
      <c r="C929" s="83"/>
      <c r="D929" s="84"/>
      <c r="E929" s="84"/>
      <c r="F929" s="84"/>
      <c r="G929" s="94"/>
    </row>
    <row r="930" spans="3:7" ht="23.25" customHeight="1" x14ac:dyDescent="0.25">
      <c r="C930" s="83"/>
      <c r="D930" s="84"/>
      <c r="E930" s="84"/>
      <c r="F930" s="84"/>
      <c r="G930" s="94"/>
    </row>
    <row r="931" spans="3:7" ht="23.25" customHeight="1" x14ac:dyDescent="0.25">
      <c r="C931" s="83"/>
      <c r="D931" s="84"/>
      <c r="E931" s="84"/>
      <c r="F931" s="84"/>
      <c r="G931" s="94"/>
    </row>
    <row r="932" spans="3:7" ht="23.25" customHeight="1" x14ac:dyDescent="0.25">
      <c r="C932" s="83"/>
      <c r="D932" s="84"/>
      <c r="E932" s="84"/>
      <c r="F932" s="84"/>
      <c r="G932" s="94"/>
    </row>
    <row r="933" spans="3:7" ht="23.25" customHeight="1" x14ac:dyDescent="0.25">
      <c r="C933" s="83"/>
      <c r="D933" s="84"/>
      <c r="E933" s="84"/>
      <c r="F933" s="84"/>
      <c r="G933" s="94"/>
    </row>
    <row r="934" spans="3:7" ht="23.25" customHeight="1" x14ac:dyDescent="0.25">
      <c r="C934" s="83"/>
      <c r="D934" s="84"/>
      <c r="E934" s="84"/>
      <c r="F934" s="84"/>
      <c r="G934" s="94"/>
    </row>
    <row r="935" spans="3:7" ht="23.25" customHeight="1" x14ac:dyDescent="0.25">
      <c r="C935" s="83"/>
      <c r="D935" s="84"/>
      <c r="E935" s="84"/>
      <c r="F935" s="84"/>
      <c r="G935" s="94"/>
    </row>
    <row r="936" spans="3:7" ht="23.25" customHeight="1" x14ac:dyDescent="0.25">
      <c r="C936" s="83"/>
      <c r="D936" s="84"/>
      <c r="E936" s="84"/>
      <c r="F936" s="84"/>
      <c r="G936" s="94"/>
    </row>
    <row r="937" spans="3:7" ht="23.25" customHeight="1" x14ac:dyDescent="0.25">
      <c r="C937" s="83"/>
      <c r="D937" s="84"/>
      <c r="E937" s="84"/>
      <c r="F937" s="84"/>
      <c r="G937" s="94"/>
    </row>
    <row r="938" spans="3:7" ht="23.25" customHeight="1" x14ac:dyDescent="0.25">
      <c r="C938" s="83"/>
      <c r="D938" s="84"/>
      <c r="E938" s="84"/>
      <c r="F938" s="84"/>
      <c r="G938" s="94"/>
    </row>
    <row r="939" spans="3:7" ht="23.25" customHeight="1" x14ac:dyDescent="0.25">
      <c r="C939" s="83"/>
      <c r="D939" s="84"/>
      <c r="E939" s="84"/>
      <c r="F939" s="84"/>
      <c r="G939" s="94"/>
    </row>
    <row r="940" spans="3:7" ht="23.25" customHeight="1" x14ac:dyDescent="0.25">
      <c r="C940" s="83"/>
      <c r="D940" s="84"/>
      <c r="E940" s="84"/>
      <c r="F940" s="84"/>
      <c r="G940" s="94"/>
    </row>
    <row r="941" spans="3:7" ht="23.25" customHeight="1" x14ac:dyDescent="0.25">
      <c r="C941" s="83"/>
      <c r="D941" s="84"/>
      <c r="E941" s="84"/>
      <c r="F941" s="84"/>
      <c r="G941" s="94"/>
    </row>
    <row r="942" spans="3:7" ht="23.25" customHeight="1" x14ac:dyDescent="0.25">
      <c r="C942" s="83"/>
      <c r="D942" s="84"/>
      <c r="E942" s="84"/>
      <c r="F942" s="84"/>
      <c r="G942" s="94"/>
    </row>
    <row r="943" spans="3:7" ht="23.25" customHeight="1" x14ac:dyDescent="0.25">
      <c r="C943" s="83"/>
      <c r="D943" s="84"/>
      <c r="E943" s="84"/>
      <c r="F943" s="84"/>
      <c r="G943" s="94"/>
    </row>
    <row r="944" spans="3:7" ht="23.25" customHeight="1" x14ac:dyDescent="0.25">
      <c r="C944" s="83"/>
      <c r="D944" s="84"/>
      <c r="E944" s="84"/>
      <c r="F944" s="84"/>
      <c r="G944" s="94"/>
    </row>
    <row r="945" spans="3:7" ht="23.25" customHeight="1" x14ac:dyDescent="0.25">
      <c r="C945" s="83"/>
      <c r="D945" s="84"/>
      <c r="E945" s="84"/>
      <c r="F945" s="84"/>
      <c r="G945" s="94"/>
    </row>
    <row r="946" spans="3:7" x14ac:dyDescent="0.25">
      <c r="C946" s="83"/>
      <c r="D946" s="84"/>
      <c r="E946" s="84"/>
      <c r="F946" s="84"/>
      <c r="G946" s="94"/>
    </row>
    <row r="947" spans="3:7" x14ac:dyDescent="0.25">
      <c r="C947" s="83"/>
      <c r="D947" s="84"/>
      <c r="E947" s="84"/>
      <c r="F947" s="84"/>
      <c r="G947" s="94"/>
    </row>
    <row r="948" spans="3:7" x14ac:dyDescent="0.25">
      <c r="C948" s="83"/>
      <c r="D948" s="84"/>
      <c r="E948" s="84"/>
      <c r="F948" s="84"/>
      <c r="G948" s="94"/>
    </row>
    <row r="949" spans="3:7" x14ac:dyDescent="0.25">
      <c r="C949" s="83"/>
      <c r="D949" s="84"/>
      <c r="E949" s="84"/>
      <c r="F949" s="84"/>
      <c r="G949" s="94"/>
    </row>
    <row r="950" spans="3:7" x14ac:dyDescent="0.25">
      <c r="C950" s="83"/>
      <c r="D950" s="84"/>
      <c r="E950" s="84"/>
      <c r="F950" s="84"/>
      <c r="G950" s="94"/>
    </row>
    <row r="951" spans="3:7" x14ac:dyDescent="0.25">
      <c r="C951" s="83"/>
      <c r="D951" s="84"/>
      <c r="E951" s="84"/>
      <c r="F951" s="84"/>
      <c r="G951" s="94"/>
    </row>
    <row r="952" spans="3:7" x14ac:dyDescent="0.25">
      <c r="C952" s="83"/>
      <c r="D952" s="84"/>
      <c r="E952" s="84"/>
      <c r="F952" s="84"/>
      <c r="G952" s="94"/>
    </row>
    <row r="953" spans="3:7" x14ac:dyDescent="0.25">
      <c r="C953" s="83"/>
      <c r="D953" s="84"/>
      <c r="E953" s="84"/>
      <c r="F953" s="84"/>
      <c r="G953" s="94"/>
    </row>
    <row r="954" spans="3:7" x14ac:dyDescent="0.25">
      <c r="C954" s="83"/>
      <c r="D954" s="84"/>
      <c r="E954" s="84"/>
      <c r="F954" s="84"/>
      <c r="G954" s="94"/>
    </row>
    <row r="955" spans="3:7" x14ac:dyDescent="0.25">
      <c r="C955" s="83"/>
      <c r="D955" s="84"/>
      <c r="E955" s="84"/>
      <c r="F955" s="84"/>
      <c r="G955" s="94"/>
    </row>
    <row r="956" spans="3:7" x14ac:dyDescent="0.25">
      <c r="C956" s="83"/>
      <c r="D956" s="84"/>
      <c r="E956" s="84"/>
      <c r="F956" s="84"/>
      <c r="G956" s="94"/>
    </row>
    <row r="957" spans="3:7" x14ac:dyDescent="0.25">
      <c r="C957" s="83"/>
      <c r="D957" s="84"/>
      <c r="E957" s="84"/>
      <c r="F957" s="84"/>
      <c r="G957" s="94"/>
    </row>
    <row r="958" spans="3:7" x14ac:dyDescent="0.25">
      <c r="C958" s="83"/>
      <c r="D958" s="84"/>
      <c r="E958" s="84"/>
      <c r="F958" s="84"/>
      <c r="G958" s="94"/>
    </row>
    <row r="959" spans="3:7" x14ac:dyDescent="0.25">
      <c r="C959" s="83"/>
      <c r="D959" s="84"/>
      <c r="E959" s="84"/>
      <c r="F959" s="84"/>
      <c r="G959" s="94"/>
    </row>
    <row r="960" spans="3:7" x14ac:dyDescent="0.25">
      <c r="C960" s="83"/>
      <c r="D960" s="84"/>
      <c r="E960" s="84"/>
      <c r="F960" s="84"/>
      <c r="G960" s="94"/>
    </row>
    <row r="961" spans="3:7" x14ac:dyDescent="0.25">
      <c r="C961" s="83"/>
      <c r="D961" s="84"/>
      <c r="E961" s="84"/>
      <c r="F961" s="84"/>
      <c r="G961" s="94"/>
    </row>
    <row r="962" spans="3:7" x14ac:dyDescent="0.25">
      <c r="C962" s="83"/>
      <c r="D962" s="84"/>
      <c r="E962" s="84"/>
      <c r="F962" s="84"/>
      <c r="G962" s="94"/>
    </row>
    <row r="963" spans="3:7" x14ac:dyDescent="0.25">
      <c r="C963" s="83"/>
      <c r="D963" s="84"/>
      <c r="E963" s="84"/>
      <c r="F963" s="84"/>
      <c r="G963" s="94"/>
    </row>
    <row r="964" spans="3:7" x14ac:dyDescent="0.25">
      <c r="C964" s="83"/>
      <c r="D964" s="84"/>
      <c r="E964" s="84"/>
      <c r="F964" s="84"/>
      <c r="G964" s="94"/>
    </row>
    <row r="965" spans="3:7" x14ac:dyDescent="0.25">
      <c r="C965" s="83"/>
      <c r="D965" s="84"/>
      <c r="E965" s="84"/>
      <c r="F965" s="84"/>
      <c r="G965" s="94"/>
    </row>
    <row r="966" spans="3:7" x14ac:dyDescent="0.25">
      <c r="C966" s="83"/>
      <c r="D966" s="84"/>
      <c r="E966" s="84"/>
      <c r="F966" s="84"/>
      <c r="G966" s="94"/>
    </row>
    <row r="967" spans="3:7" x14ac:dyDescent="0.25">
      <c r="C967" s="83"/>
      <c r="D967" s="84"/>
      <c r="E967" s="84"/>
      <c r="F967" s="84"/>
      <c r="G967" s="94"/>
    </row>
    <row r="968" spans="3:7" x14ac:dyDescent="0.25">
      <c r="C968" s="83"/>
      <c r="D968" s="84"/>
      <c r="E968" s="84"/>
      <c r="F968" s="84"/>
      <c r="G968" s="94"/>
    </row>
    <row r="969" spans="3:7" x14ac:dyDescent="0.25">
      <c r="C969" s="83"/>
      <c r="D969" s="84"/>
      <c r="E969" s="84"/>
      <c r="F969" s="84"/>
      <c r="G969" s="94"/>
    </row>
    <row r="970" spans="3:7" x14ac:dyDescent="0.25">
      <c r="C970" s="83"/>
      <c r="D970" s="84"/>
      <c r="E970" s="84"/>
      <c r="F970" s="84"/>
      <c r="G970" s="94"/>
    </row>
    <row r="971" spans="3:7" x14ac:dyDescent="0.25">
      <c r="C971" s="83"/>
      <c r="D971" s="84"/>
      <c r="E971" s="84"/>
      <c r="F971" s="84"/>
      <c r="G971" s="94"/>
    </row>
    <row r="972" spans="3:7" x14ac:dyDescent="0.25">
      <c r="C972" s="83"/>
      <c r="D972" s="84"/>
      <c r="E972" s="84"/>
      <c r="F972" s="84"/>
      <c r="G972" s="94"/>
    </row>
    <row r="973" spans="3:7" x14ac:dyDescent="0.25">
      <c r="C973" s="83"/>
      <c r="D973" s="84"/>
      <c r="E973" s="84"/>
      <c r="F973" s="84"/>
      <c r="G973" s="94"/>
    </row>
    <row r="974" spans="3:7" ht="15.75" x14ac:dyDescent="0.25">
      <c r="C974" s="83"/>
      <c r="D974" s="84"/>
      <c r="E974" s="84"/>
      <c r="F974" s="86"/>
      <c r="G974" s="94"/>
    </row>
    <row r="975" spans="3:7" ht="15.75" x14ac:dyDescent="0.25">
      <c r="C975" s="83"/>
      <c r="D975" s="84"/>
      <c r="E975" s="84"/>
      <c r="F975" s="86"/>
      <c r="G975" s="94"/>
    </row>
    <row r="976" spans="3:7" ht="15.75" x14ac:dyDescent="0.25">
      <c r="C976" s="83"/>
      <c r="D976" s="84"/>
      <c r="E976" s="84"/>
      <c r="F976" s="86"/>
      <c r="G976" s="94"/>
    </row>
    <row r="977" spans="3:7" ht="15.75" x14ac:dyDescent="0.25">
      <c r="C977" s="83"/>
      <c r="D977" s="84"/>
      <c r="E977" s="84"/>
      <c r="F977" s="86"/>
      <c r="G977" s="94"/>
    </row>
    <row r="978" spans="3:7" ht="15.75" x14ac:dyDescent="0.25">
      <c r="C978" s="83"/>
      <c r="D978" s="84"/>
      <c r="E978" s="84"/>
      <c r="F978" s="86"/>
      <c r="G978" s="94"/>
    </row>
    <row r="979" spans="3:7" ht="15.75" x14ac:dyDescent="0.25">
      <c r="C979" s="83"/>
      <c r="D979" s="84"/>
      <c r="E979" s="84"/>
      <c r="F979" s="86"/>
      <c r="G979" s="94"/>
    </row>
    <row r="980" spans="3:7" ht="15.75" x14ac:dyDescent="0.25">
      <c r="C980" s="83"/>
      <c r="D980" s="84"/>
      <c r="E980" s="84"/>
      <c r="F980" s="86"/>
      <c r="G980" s="94"/>
    </row>
    <row r="981" spans="3:7" ht="15.75" x14ac:dyDescent="0.25">
      <c r="C981" s="83"/>
      <c r="D981" s="84"/>
      <c r="E981" s="84"/>
      <c r="F981" s="86"/>
      <c r="G981" s="94"/>
    </row>
    <row r="982" spans="3:7" ht="15.75" x14ac:dyDescent="0.25">
      <c r="C982" s="83"/>
      <c r="D982" s="84"/>
      <c r="E982" s="84"/>
      <c r="F982" s="86"/>
      <c r="G982" s="94"/>
    </row>
    <row r="983" spans="3:7" ht="15.75" x14ac:dyDescent="0.25">
      <c r="C983" s="83"/>
      <c r="D983" s="84"/>
      <c r="E983" s="84"/>
      <c r="F983" s="86"/>
      <c r="G983" s="94"/>
    </row>
    <row r="984" spans="3:7" ht="15.75" x14ac:dyDescent="0.25">
      <c r="C984" s="83"/>
      <c r="D984" s="84"/>
      <c r="E984" s="84"/>
      <c r="F984" s="86"/>
      <c r="G984" s="94"/>
    </row>
    <row r="985" spans="3:7" ht="15.75" x14ac:dyDescent="0.25">
      <c r="C985" s="83"/>
      <c r="D985" s="84"/>
      <c r="E985" s="84"/>
      <c r="F985" s="86"/>
      <c r="G985" s="94"/>
    </row>
    <row r="986" spans="3:7" ht="15.75" x14ac:dyDescent="0.25">
      <c r="C986" s="83"/>
      <c r="D986" s="84"/>
      <c r="E986" s="84"/>
      <c r="F986" s="86"/>
      <c r="G986" s="94"/>
    </row>
    <row r="987" spans="3:7" ht="15.75" x14ac:dyDescent="0.25">
      <c r="C987" s="83"/>
      <c r="D987" s="84"/>
      <c r="E987" s="84"/>
      <c r="F987" s="86"/>
      <c r="G987" s="94"/>
    </row>
    <row r="988" spans="3:7" ht="15.75" x14ac:dyDescent="0.25">
      <c r="C988" s="83"/>
      <c r="D988" s="84"/>
      <c r="E988" s="84"/>
      <c r="F988" s="86"/>
      <c r="G988" s="94"/>
    </row>
    <row r="989" spans="3:7" ht="15.75" x14ac:dyDescent="0.25">
      <c r="C989" s="83"/>
      <c r="D989" s="84"/>
      <c r="E989" s="84"/>
      <c r="F989" s="86"/>
      <c r="G989" s="94"/>
    </row>
    <row r="990" spans="3:7" ht="15.75" x14ac:dyDescent="0.25">
      <c r="C990" s="83"/>
      <c r="D990" s="84"/>
      <c r="E990" s="84"/>
      <c r="F990" s="86"/>
      <c r="G990" s="94"/>
    </row>
    <row r="991" spans="3:7" ht="15.75" x14ac:dyDescent="0.25">
      <c r="C991" s="83"/>
      <c r="D991" s="84"/>
      <c r="E991" s="84"/>
      <c r="F991" s="86"/>
      <c r="G991" s="94"/>
    </row>
    <row r="992" spans="3:7" ht="15.75" x14ac:dyDescent="0.25">
      <c r="C992" s="83"/>
      <c r="D992" s="84"/>
      <c r="E992" s="84"/>
      <c r="F992" s="86"/>
      <c r="G992" s="94"/>
    </row>
    <row r="993" spans="3:7" ht="15.75" x14ac:dyDescent="0.25">
      <c r="C993" s="83"/>
      <c r="D993" s="84"/>
      <c r="E993" s="84"/>
      <c r="F993" s="86"/>
      <c r="G993" s="94"/>
    </row>
    <row r="994" spans="3:7" ht="15.75" x14ac:dyDescent="0.25">
      <c r="C994" s="83"/>
      <c r="D994" s="84"/>
      <c r="E994" s="84"/>
      <c r="F994" s="86"/>
      <c r="G994" s="94"/>
    </row>
    <row r="995" spans="3:7" ht="15.75" x14ac:dyDescent="0.25">
      <c r="C995" s="83"/>
      <c r="D995" s="84"/>
      <c r="E995" s="84"/>
      <c r="F995" s="86"/>
      <c r="G995" s="94"/>
    </row>
    <row r="996" spans="3:7" ht="15.75" x14ac:dyDescent="0.25">
      <c r="C996" s="83"/>
      <c r="D996" s="84"/>
      <c r="E996" s="84"/>
      <c r="F996" s="86"/>
      <c r="G996" s="94"/>
    </row>
    <row r="997" spans="3:7" ht="15.75" x14ac:dyDescent="0.25">
      <c r="C997" s="83"/>
      <c r="D997" s="84"/>
      <c r="E997" s="84"/>
      <c r="F997" s="86"/>
      <c r="G997" s="94"/>
    </row>
    <row r="998" spans="3:7" ht="15.75" x14ac:dyDescent="0.25">
      <c r="C998" s="83"/>
      <c r="D998" s="84"/>
      <c r="E998" s="84"/>
      <c r="F998" s="86"/>
      <c r="G998" s="94"/>
    </row>
    <row r="999" spans="3:7" ht="15.75" x14ac:dyDescent="0.25">
      <c r="C999" s="83"/>
      <c r="D999" s="84"/>
      <c r="E999" s="84"/>
      <c r="F999" s="86"/>
      <c r="G999" s="94"/>
    </row>
    <row r="1000" spans="3:7" ht="15.75" x14ac:dyDescent="0.25">
      <c r="C1000" s="83"/>
      <c r="D1000" s="84"/>
      <c r="E1000" s="84"/>
      <c r="F1000" s="86"/>
      <c r="G1000" s="94"/>
    </row>
    <row r="1001" spans="3:7" ht="15.75" x14ac:dyDescent="0.25">
      <c r="C1001" s="83"/>
      <c r="D1001" s="84"/>
      <c r="E1001" s="84"/>
      <c r="F1001" s="86"/>
      <c r="G1001" s="94"/>
    </row>
    <row r="1002" spans="3:7" ht="15.75" x14ac:dyDescent="0.25">
      <c r="C1002" s="83"/>
      <c r="D1002" s="84"/>
      <c r="E1002" s="84"/>
      <c r="F1002" s="86"/>
      <c r="G1002" s="94"/>
    </row>
    <row r="1003" spans="3:7" ht="15.75" x14ac:dyDescent="0.25">
      <c r="C1003" s="83"/>
      <c r="D1003" s="84"/>
      <c r="E1003" s="84"/>
      <c r="F1003" s="86"/>
      <c r="G1003" s="94"/>
    </row>
    <row r="1004" spans="3:7" ht="15.75" x14ac:dyDescent="0.25">
      <c r="C1004" s="83"/>
      <c r="D1004" s="84"/>
      <c r="E1004" s="84"/>
      <c r="F1004" s="86"/>
      <c r="G1004" s="94"/>
    </row>
    <row r="1005" spans="3:7" ht="15.75" x14ac:dyDescent="0.25">
      <c r="C1005" s="83"/>
      <c r="D1005" s="84"/>
      <c r="E1005" s="84"/>
      <c r="F1005" s="86"/>
      <c r="G1005" s="94"/>
    </row>
    <row r="1006" spans="3:7" ht="15.75" x14ac:dyDescent="0.25">
      <c r="C1006" s="83"/>
      <c r="D1006" s="84"/>
      <c r="E1006" s="84"/>
      <c r="F1006" s="86"/>
      <c r="G1006" s="94"/>
    </row>
    <row r="1007" spans="3:7" ht="15.75" x14ac:dyDescent="0.25">
      <c r="C1007" s="83"/>
      <c r="D1007" s="84"/>
      <c r="E1007" s="84"/>
      <c r="F1007" s="86"/>
      <c r="G1007" s="94"/>
    </row>
    <row r="1008" spans="3:7" ht="15.75" x14ac:dyDescent="0.25">
      <c r="C1008" s="83"/>
      <c r="D1008" s="84"/>
      <c r="E1008" s="84"/>
      <c r="F1008" s="86"/>
      <c r="G1008" s="94"/>
    </row>
    <row r="1009" spans="3:7" ht="15.75" x14ac:dyDescent="0.25">
      <c r="C1009" s="83"/>
      <c r="D1009" s="84"/>
      <c r="E1009" s="84"/>
      <c r="F1009" s="86"/>
      <c r="G1009" s="94"/>
    </row>
    <row r="1010" spans="3:7" ht="15.75" x14ac:dyDescent="0.25">
      <c r="C1010" s="83"/>
      <c r="D1010" s="84"/>
      <c r="E1010" s="84"/>
      <c r="F1010" s="86"/>
      <c r="G1010" s="94"/>
    </row>
    <row r="1011" spans="3:7" ht="15.75" x14ac:dyDescent="0.25">
      <c r="C1011" s="83"/>
      <c r="D1011" s="84"/>
      <c r="E1011" s="84"/>
      <c r="F1011" s="86"/>
      <c r="G1011" s="94"/>
    </row>
    <row r="1012" spans="3:7" ht="15.75" x14ac:dyDescent="0.25">
      <c r="C1012" s="83"/>
      <c r="D1012" s="84"/>
      <c r="E1012" s="84"/>
      <c r="F1012" s="86"/>
      <c r="G1012" s="94"/>
    </row>
    <row r="1013" spans="3:7" ht="15.75" x14ac:dyDescent="0.25">
      <c r="C1013" s="83"/>
      <c r="D1013" s="84"/>
      <c r="E1013" s="84"/>
      <c r="F1013" s="86"/>
      <c r="G1013" s="94"/>
    </row>
    <row r="1014" spans="3:7" ht="15.75" x14ac:dyDescent="0.25">
      <c r="C1014" s="83"/>
      <c r="D1014" s="84"/>
      <c r="E1014" s="84"/>
      <c r="F1014" s="86"/>
      <c r="G1014" s="94"/>
    </row>
    <row r="1015" spans="3:7" ht="15.75" x14ac:dyDescent="0.25">
      <c r="C1015" s="83"/>
      <c r="D1015" s="84"/>
      <c r="E1015" s="84"/>
      <c r="F1015" s="86"/>
      <c r="G1015" s="94"/>
    </row>
    <row r="1016" spans="3:7" ht="15.75" x14ac:dyDescent="0.25">
      <c r="C1016" s="83"/>
      <c r="D1016" s="84"/>
      <c r="E1016" s="84"/>
      <c r="F1016" s="86"/>
      <c r="G1016" s="94"/>
    </row>
    <row r="1017" spans="3:7" ht="15.75" x14ac:dyDescent="0.25">
      <c r="C1017" s="83"/>
      <c r="D1017" s="84"/>
      <c r="E1017" s="84"/>
      <c r="F1017" s="86"/>
      <c r="G1017" s="94"/>
    </row>
    <row r="1018" spans="3:7" ht="15.75" x14ac:dyDescent="0.25">
      <c r="C1018" s="83"/>
      <c r="D1018" s="84"/>
      <c r="E1018" s="84"/>
      <c r="F1018" s="86"/>
      <c r="G1018" s="94"/>
    </row>
    <row r="1019" spans="3:7" ht="15.75" x14ac:dyDescent="0.25">
      <c r="C1019" s="83"/>
      <c r="D1019" s="84"/>
      <c r="E1019" s="84"/>
      <c r="F1019" s="86"/>
      <c r="G1019" s="94"/>
    </row>
    <row r="1020" spans="3:7" ht="15.75" x14ac:dyDescent="0.25">
      <c r="C1020" s="83"/>
      <c r="D1020" s="84"/>
      <c r="E1020" s="84"/>
      <c r="F1020" s="86"/>
      <c r="G1020" s="94"/>
    </row>
    <row r="1021" spans="3:7" ht="15.75" x14ac:dyDescent="0.25">
      <c r="C1021" s="83"/>
      <c r="D1021" s="84"/>
      <c r="E1021" s="84"/>
      <c r="F1021" s="86"/>
      <c r="G1021" s="94"/>
    </row>
    <row r="1022" spans="3:7" ht="15.75" x14ac:dyDescent="0.25">
      <c r="C1022" s="83"/>
      <c r="D1022" s="84"/>
      <c r="E1022" s="84"/>
      <c r="F1022" s="86"/>
      <c r="G1022" s="94"/>
    </row>
    <row r="1023" spans="3:7" ht="15.75" x14ac:dyDescent="0.25">
      <c r="C1023" s="83"/>
      <c r="D1023" s="84"/>
      <c r="E1023" s="84"/>
      <c r="F1023" s="86"/>
      <c r="G1023" s="94"/>
    </row>
    <row r="1024" spans="3:7" ht="15.75" x14ac:dyDescent="0.25">
      <c r="C1024" s="83"/>
      <c r="D1024" s="84"/>
      <c r="E1024" s="84"/>
      <c r="F1024" s="86"/>
      <c r="G1024" s="94"/>
    </row>
    <row r="1025" spans="3:7" ht="15.75" x14ac:dyDescent="0.25">
      <c r="C1025" s="83"/>
      <c r="D1025" s="84"/>
      <c r="E1025" s="84"/>
      <c r="F1025" s="86"/>
      <c r="G1025" s="94"/>
    </row>
    <row r="1026" spans="3:7" ht="15.75" x14ac:dyDescent="0.25">
      <c r="C1026" s="83"/>
      <c r="D1026" s="84"/>
      <c r="E1026" s="84"/>
      <c r="F1026" s="86"/>
      <c r="G1026" s="94"/>
    </row>
    <row r="1027" spans="3:7" ht="15.75" x14ac:dyDescent="0.25">
      <c r="C1027" s="83"/>
      <c r="D1027" s="84"/>
      <c r="E1027" s="84"/>
      <c r="F1027" s="86"/>
      <c r="G1027" s="94"/>
    </row>
    <row r="1028" spans="3:7" ht="15.75" x14ac:dyDescent="0.25">
      <c r="C1028" s="83"/>
      <c r="D1028" s="84"/>
      <c r="E1028" s="84"/>
      <c r="F1028" s="86"/>
      <c r="G1028" s="94"/>
    </row>
    <row r="1029" spans="3:7" ht="15.75" x14ac:dyDescent="0.25">
      <c r="C1029" s="83"/>
      <c r="D1029" s="84"/>
      <c r="E1029" s="84"/>
      <c r="F1029" s="86"/>
      <c r="G1029" s="94"/>
    </row>
    <row r="1030" spans="3:7" ht="15.75" x14ac:dyDescent="0.25">
      <c r="C1030" s="83"/>
      <c r="D1030" s="84"/>
      <c r="E1030" s="84"/>
      <c r="F1030" s="86"/>
      <c r="G1030" s="94"/>
    </row>
    <row r="1031" spans="3:7" ht="15.75" x14ac:dyDescent="0.25">
      <c r="C1031" s="83"/>
      <c r="D1031" s="84"/>
      <c r="E1031" s="84"/>
      <c r="F1031" s="86"/>
      <c r="G1031" s="94"/>
    </row>
    <row r="1032" spans="3:7" ht="15.75" x14ac:dyDescent="0.25">
      <c r="C1032" s="83"/>
      <c r="D1032" s="84"/>
      <c r="E1032" s="84"/>
      <c r="F1032" s="86"/>
      <c r="G1032" s="94"/>
    </row>
    <row r="1033" spans="3:7" ht="15.75" x14ac:dyDescent="0.25">
      <c r="C1033" s="83"/>
      <c r="D1033" s="84"/>
      <c r="E1033" s="84"/>
      <c r="F1033" s="86"/>
      <c r="G1033" s="94"/>
    </row>
    <row r="1034" spans="3:7" ht="15.75" x14ac:dyDescent="0.25">
      <c r="C1034" s="83"/>
      <c r="D1034" s="84"/>
      <c r="E1034" s="84"/>
      <c r="F1034" s="86"/>
      <c r="G1034" s="94"/>
    </row>
    <row r="1035" spans="3:7" ht="15.75" x14ac:dyDescent="0.25">
      <c r="C1035" s="83"/>
      <c r="D1035" s="84"/>
      <c r="E1035" s="84"/>
      <c r="F1035" s="86"/>
      <c r="G1035" s="94"/>
    </row>
    <row r="1036" spans="3:7" ht="15.75" x14ac:dyDescent="0.25">
      <c r="C1036" s="83"/>
      <c r="D1036" s="84"/>
      <c r="E1036" s="84"/>
      <c r="F1036" s="86"/>
      <c r="G1036" s="94"/>
    </row>
    <row r="1037" spans="3:7" ht="15.75" x14ac:dyDescent="0.25">
      <c r="C1037" s="83"/>
      <c r="D1037" s="84"/>
      <c r="E1037" s="84"/>
      <c r="F1037" s="86"/>
      <c r="G1037" s="94"/>
    </row>
    <row r="1038" spans="3:7" ht="15.75" x14ac:dyDescent="0.25">
      <c r="C1038" s="83"/>
      <c r="D1038" s="84"/>
      <c r="E1038" s="84"/>
      <c r="F1038" s="86"/>
      <c r="G1038" s="94"/>
    </row>
    <row r="1039" spans="3:7" ht="15.75" x14ac:dyDescent="0.25">
      <c r="C1039" s="83"/>
      <c r="D1039" s="84"/>
      <c r="E1039" s="84"/>
      <c r="F1039" s="86"/>
      <c r="G1039" s="94"/>
    </row>
    <row r="1040" spans="3:7" ht="15.75" x14ac:dyDescent="0.25">
      <c r="C1040" s="83"/>
      <c r="D1040" s="84"/>
      <c r="E1040" s="84"/>
      <c r="F1040" s="86"/>
      <c r="G1040" s="94"/>
    </row>
    <row r="1041" spans="3:7" ht="15.75" x14ac:dyDescent="0.25">
      <c r="C1041" s="83"/>
      <c r="D1041" s="84"/>
      <c r="E1041" s="84"/>
      <c r="F1041" s="86"/>
      <c r="G1041" s="94"/>
    </row>
    <row r="1042" spans="3:7" ht="15.75" x14ac:dyDescent="0.25">
      <c r="C1042" s="83"/>
      <c r="D1042" s="84"/>
      <c r="E1042" s="84"/>
      <c r="F1042" s="86"/>
      <c r="G1042" s="94"/>
    </row>
    <row r="1043" spans="3:7" ht="15.75" x14ac:dyDescent="0.25">
      <c r="C1043" s="83"/>
      <c r="D1043" s="84"/>
      <c r="E1043" s="84"/>
      <c r="F1043" s="86"/>
      <c r="G1043" s="94"/>
    </row>
    <row r="1044" spans="3:7" ht="15.75" x14ac:dyDescent="0.25">
      <c r="C1044" s="83"/>
      <c r="D1044" s="84"/>
      <c r="E1044" s="84"/>
      <c r="F1044" s="86"/>
      <c r="G1044" s="94"/>
    </row>
    <row r="1045" spans="3:7" ht="15.75" x14ac:dyDescent="0.25">
      <c r="C1045" s="83"/>
      <c r="D1045" s="84"/>
      <c r="E1045" s="84"/>
      <c r="F1045" s="86"/>
      <c r="G1045" s="94"/>
    </row>
    <row r="1046" spans="3:7" ht="15.75" x14ac:dyDescent="0.25">
      <c r="C1046" s="83"/>
      <c r="D1046" s="84"/>
      <c r="E1046" s="84"/>
      <c r="F1046" s="86"/>
      <c r="G1046" s="94"/>
    </row>
    <row r="1047" spans="3:7" ht="15.75" x14ac:dyDescent="0.25">
      <c r="C1047" s="83"/>
      <c r="D1047" s="84"/>
      <c r="E1047" s="84"/>
      <c r="F1047" s="86"/>
      <c r="G1047" s="94"/>
    </row>
    <row r="1048" spans="3:7" ht="15.75" x14ac:dyDescent="0.25">
      <c r="C1048" s="83"/>
      <c r="D1048" s="84"/>
      <c r="E1048" s="84"/>
      <c r="F1048" s="86"/>
      <c r="G1048" s="94"/>
    </row>
    <row r="1049" spans="3:7" ht="15.75" x14ac:dyDescent="0.25">
      <c r="C1049" s="83"/>
      <c r="D1049" s="84"/>
      <c r="E1049" s="84"/>
      <c r="F1049" s="86"/>
      <c r="G1049" s="94"/>
    </row>
    <row r="1050" spans="3:7" ht="15.75" x14ac:dyDescent="0.25">
      <c r="C1050" s="83"/>
      <c r="D1050" s="84"/>
      <c r="E1050" s="84"/>
      <c r="F1050" s="86"/>
      <c r="G1050" s="94"/>
    </row>
    <row r="1051" spans="3:7" ht="15.75" x14ac:dyDescent="0.25">
      <c r="C1051" s="83"/>
      <c r="D1051" s="84"/>
      <c r="E1051" s="84"/>
      <c r="F1051" s="86"/>
      <c r="G1051" s="94"/>
    </row>
    <row r="1052" spans="3:7" ht="15.75" x14ac:dyDescent="0.25">
      <c r="C1052" s="83"/>
      <c r="D1052" s="84"/>
      <c r="E1052" s="84"/>
      <c r="F1052" s="86"/>
      <c r="G1052" s="94"/>
    </row>
    <row r="1053" spans="3:7" ht="15.75" x14ac:dyDescent="0.25">
      <c r="C1053" s="83"/>
      <c r="D1053" s="84"/>
      <c r="E1053" s="84"/>
      <c r="F1053" s="86"/>
      <c r="G1053" s="94"/>
    </row>
    <row r="1054" spans="3:7" ht="15.75" x14ac:dyDescent="0.25">
      <c r="C1054" s="83"/>
      <c r="D1054" s="84"/>
      <c r="E1054" s="84"/>
      <c r="F1054" s="86"/>
      <c r="G1054" s="94"/>
    </row>
    <row r="1055" spans="3:7" ht="15.75" x14ac:dyDescent="0.25">
      <c r="C1055" s="83"/>
      <c r="D1055" s="84"/>
      <c r="E1055" s="84"/>
      <c r="F1055" s="86"/>
      <c r="G1055" s="94"/>
    </row>
    <row r="1056" spans="3:7" ht="15.75" x14ac:dyDescent="0.25">
      <c r="C1056" s="83"/>
      <c r="D1056" s="84"/>
      <c r="E1056" s="84"/>
      <c r="F1056" s="86"/>
      <c r="G1056" s="94"/>
    </row>
    <row r="1057" spans="3:7" ht="15.75" x14ac:dyDescent="0.25">
      <c r="C1057" s="83"/>
      <c r="D1057" s="84"/>
      <c r="E1057" s="84"/>
      <c r="F1057" s="86"/>
      <c r="G1057" s="94"/>
    </row>
    <row r="1058" spans="3:7" ht="15.75" x14ac:dyDescent="0.25">
      <c r="C1058" s="83"/>
      <c r="D1058" s="84"/>
      <c r="E1058" s="84"/>
      <c r="F1058" s="86"/>
      <c r="G1058" s="94"/>
    </row>
    <row r="1059" spans="3:7" ht="15.75" x14ac:dyDescent="0.25">
      <c r="C1059" s="83"/>
      <c r="D1059" s="84"/>
      <c r="E1059" s="84"/>
      <c r="F1059" s="86"/>
      <c r="G1059" s="94"/>
    </row>
    <row r="1060" spans="3:7" x14ac:dyDescent="0.25">
      <c r="C1060" s="83"/>
      <c r="D1060" s="88"/>
      <c r="E1060" s="88"/>
      <c r="F1060" s="84"/>
      <c r="G1060" s="94"/>
    </row>
    <row r="1061" spans="3:7" x14ac:dyDescent="0.25">
      <c r="C1061" s="83"/>
      <c r="D1061" s="84"/>
      <c r="E1061" s="84"/>
      <c r="F1061" s="84"/>
      <c r="G1061" s="94"/>
    </row>
    <row r="1062" spans="3:7" x14ac:dyDescent="0.25">
      <c r="C1062" s="83"/>
      <c r="D1062" s="88"/>
      <c r="E1062" s="88"/>
      <c r="F1062" s="84"/>
      <c r="G1062" s="94"/>
    </row>
    <row r="1063" spans="3:7" x14ac:dyDescent="0.25">
      <c r="C1063" s="83"/>
      <c r="D1063" s="84"/>
      <c r="E1063" s="84"/>
      <c r="F1063" s="84"/>
      <c r="G1063" s="94"/>
    </row>
    <row r="1064" spans="3:7" x14ac:dyDescent="0.25">
      <c r="C1064" s="83"/>
      <c r="D1064" s="88"/>
      <c r="E1064" s="88"/>
      <c r="F1064" s="84"/>
      <c r="G1064" s="94"/>
    </row>
    <row r="1065" spans="3:7" x14ac:dyDescent="0.25">
      <c r="C1065" s="83"/>
      <c r="D1065" s="84"/>
      <c r="E1065" s="84"/>
      <c r="F1065" s="84"/>
      <c r="G1065" s="94"/>
    </row>
    <row r="1066" spans="3:7" x14ac:dyDescent="0.25">
      <c r="C1066" s="83"/>
      <c r="D1066" s="88"/>
      <c r="E1066" s="88"/>
      <c r="F1066" s="84"/>
      <c r="G1066" s="94"/>
    </row>
    <row r="1067" spans="3:7" x14ac:dyDescent="0.25">
      <c r="C1067" s="83"/>
      <c r="D1067" s="84"/>
      <c r="E1067" s="84"/>
      <c r="F1067" s="84"/>
      <c r="G1067" s="94"/>
    </row>
    <row r="1068" spans="3:7" x14ac:dyDescent="0.25">
      <c r="C1068" s="83"/>
      <c r="D1068" s="88"/>
      <c r="E1068" s="88"/>
      <c r="F1068" s="84"/>
      <c r="G1068" s="94"/>
    </row>
    <row r="1069" spans="3:7" x14ac:dyDescent="0.25">
      <c r="C1069" s="83"/>
      <c r="D1069" s="84"/>
      <c r="E1069" s="84"/>
      <c r="F1069" s="84"/>
      <c r="G1069" s="94"/>
    </row>
    <row r="1070" spans="3:7" x14ac:dyDescent="0.25">
      <c r="C1070" s="83"/>
      <c r="D1070" s="88"/>
      <c r="E1070" s="88"/>
      <c r="F1070" s="88"/>
      <c r="G1070" s="94"/>
    </row>
    <row r="1071" spans="3:7" x14ac:dyDescent="0.25">
      <c r="C1071" s="83"/>
      <c r="D1071" s="84"/>
      <c r="E1071" s="84"/>
      <c r="F1071" s="84"/>
      <c r="G1071" s="94"/>
    </row>
    <row r="1072" spans="3:7" x14ac:dyDescent="0.25">
      <c r="C1072" s="83"/>
      <c r="D1072" s="84"/>
      <c r="E1072" s="84"/>
      <c r="F1072" s="87"/>
      <c r="G1072" s="94"/>
    </row>
    <row r="1073" spans="3:7" x14ac:dyDescent="0.25">
      <c r="C1073" s="83"/>
      <c r="D1073" s="84"/>
      <c r="E1073" s="84"/>
      <c r="F1073" s="84"/>
      <c r="G1073" s="94"/>
    </row>
    <row r="1074" spans="3:7" x14ac:dyDescent="0.25">
      <c r="C1074" s="83"/>
      <c r="D1074" s="88"/>
      <c r="E1074" s="88"/>
      <c r="F1074" s="84"/>
      <c r="G1074" s="94"/>
    </row>
    <row r="1075" spans="3:7" x14ac:dyDescent="0.25">
      <c r="C1075" s="83"/>
      <c r="D1075" s="88"/>
      <c r="E1075" s="88"/>
      <c r="F1075" s="84"/>
      <c r="G1075" s="94"/>
    </row>
    <row r="1076" spans="3:7" x14ac:dyDescent="0.25">
      <c r="C1076" s="83"/>
      <c r="D1076" s="88"/>
      <c r="E1076" s="88"/>
      <c r="F1076" s="84"/>
      <c r="G1076" s="94"/>
    </row>
    <row r="1077" spans="3:7" x14ac:dyDescent="0.25">
      <c r="C1077" s="83"/>
      <c r="D1077" s="88"/>
      <c r="E1077" s="88"/>
      <c r="F1077" s="88"/>
      <c r="G1077" s="94"/>
    </row>
    <row r="1078" spans="3:7" x14ac:dyDescent="0.25">
      <c r="C1078" s="83"/>
      <c r="D1078" s="88"/>
      <c r="E1078" s="88"/>
      <c r="F1078" s="84"/>
      <c r="G1078" s="94"/>
    </row>
    <row r="1079" spans="3:7" x14ac:dyDescent="0.25">
      <c r="C1079" s="83"/>
      <c r="D1079" s="88"/>
      <c r="E1079" s="84"/>
      <c r="F1079" s="88"/>
      <c r="G1079" s="94"/>
    </row>
    <row r="1080" spans="3:7" x14ac:dyDescent="0.25">
      <c r="C1080" s="83"/>
      <c r="D1080" s="84"/>
      <c r="E1080" s="84"/>
      <c r="F1080" s="88"/>
      <c r="G1080" s="94"/>
    </row>
    <row r="1081" spans="3:7" x14ac:dyDescent="0.25">
      <c r="C1081" s="83"/>
      <c r="D1081" s="88"/>
      <c r="E1081" s="88"/>
      <c r="F1081" s="84"/>
      <c r="G1081" s="94"/>
    </row>
    <row r="1082" spans="3:7" x14ac:dyDescent="0.25">
      <c r="C1082" s="83"/>
      <c r="D1082" s="88"/>
      <c r="E1082" s="88"/>
      <c r="F1082" s="88"/>
      <c r="G1082" s="94"/>
    </row>
    <row r="1083" spans="3:7" x14ac:dyDescent="0.25">
      <c r="C1083" s="83"/>
      <c r="D1083" s="84"/>
      <c r="E1083" s="84"/>
      <c r="F1083" s="84"/>
      <c r="G1083" s="94"/>
    </row>
    <row r="1084" spans="3:7" x14ac:dyDescent="0.25">
      <c r="C1084" s="83"/>
      <c r="D1084" s="88"/>
      <c r="E1084" s="88"/>
      <c r="F1084" s="84"/>
      <c r="G1084" s="94"/>
    </row>
    <row r="1085" spans="3:7" x14ac:dyDescent="0.25">
      <c r="C1085" s="83"/>
      <c r="D1085" s="88"/>
      <c r="E1085" s="88"/>
      <c r="F1085" s="88"/>
      <c r="G1085" s="94"/>
    </row>
    <row r="1086" spans="3:7" x14ac:dyDescent="0.25">
      <c r="C1086" s="83"/>
      <c r="D1086" s="84"/>
      <c r="E1086" s="84"/>
      <c r="F1086" s="84"/>
      <c r="G1086" s="94"/>
    </row>
    <row r="1087" spans="3:7" x14ac:dyDescent="0.25">
      <c r="C1087" s="83"/>
      <c r="D1087" s="88"/>
      <c r="E1087" s="88"/>
      <c r="F1087" s="88"/>
      <c r="G1087" s="94"/>
    </row>
    <row r="1088" spans="3:7" x14ac:dyDescent="0.25">
      <c r="C1088" s="83"/>
      <c r="D1088" s="84"/>
      <c r="E1088" s="84"/>
      <c r="F1088" s="84"/>
      <c r="G1088" s="94"/>
    </row>
    <row r="1089" spans="3:7" x14ac:dyDescent="0.25">
      <c r="C1089" s="83"/>
      <c r="D1089" s="88"/>
      <c r="E1089" s="88"/>
      <c r="F1089" s="88"/>
      <c r="G1089" s="94"/>
    </row>
    <row r="1090" spans="3:7" x14ac:dyDescent="0.25">
      <c r="C1090" s="83"/>
      <c r="D1090" s="84"/>
      <c r="E1090" s="84"/>
      <c r="F1090" s="84"/>
      <c r="G1090" s="94"/>
    </row>
    <row r="1091" spans="3:7" x14ac:dyDescent="0.25">
      <c r="C1091" s="83"/>
      <c r="D1091" s="88"/>
      <c r="E1091" s="88"/>
      <c r="F1091" s="88"/>
      <c r="G1091" s="94"/>
    </row>
    <row r="1092" spans="3:7" x14ac:dyDescent="0.25">
      <c r="C1092" s="83"/>
      <c r="D1092" s="88"/>
      <c r="E1092" s="88"/>
      <c r="F1092" s="88"/>
      <c r="G1092" s="94"/>
    </row>
    <row r="1093" spans="3:7" x14ac:dyDescent="0.25">
      <c r="C1093" s="83"/>
      <c r="D1093" s="84"/>
      <c r="E1093" s="84"/>
      <c r="F1093" s="84"/>
      <c r="G1093" s="94"/>
    </row>
    <row r="1094" spans="3:7" x14ac:dyDescent="0.25">
      <c r="C1094" s="83"/>
      <c r="D1094" s="88"/>
      <c r="E1094" s="88"/>
      <c r="F1094" s="88"/>
      <c r="G1094" s="94"/>
    </row>
    <row r="1095" spans="3:7" x14ac:dyDescent="0.25">
      <c r="C1095" s="83"/>
      <c r="D1095" s="84"/>
      <c r="E1095" s="84"/>
      <c r="F1095" s="84"/>
      <c r="G1095" s="94"/>
    </row>
    <row r="1096" spans="3:7" x14ac:dyDescent="0.25">
      <c r="C1096" s="83"/>
      <c r="D1096" s="88"/>
      <c r="E1096" s="88"/>
      <c r="F1096" s="88"/>
      <c r="G1096" s="94"/>
    </row>
    <row r="1097" spans="3:7" x14ac:dyDescent="0.25">
      <c r="C1097" s="83"/>
      <c r="D1097" s="88"/>
      <c r="E1097" s="88"/>
      <c r="F1097" s="88"/>
      <c r="G1097" s="94"/>
    </row>
    <row r="1098" spans="3:7" x14ac:dyDescent="0.25">
      <c r="C1098" s="83"/>
      <c r="D1098" s="84"/>
      <c r="E1098" s="84"/>
      <c r="F1098" s="84"/>
      <c r="G1098" s="94"/>
    </row>
    <row r="1099" spans="3:7" x14ac:dyDescent="0.25">
      <c r="C1099" s="83"/>
      <c r="D1099" s="88"/>
      <c r="E1099" s="88"/>
      <c r="F1099" s="88"/>
      <c r="G1099" s="94"/>
    </row>
    <row r="1100" spans="3:7" x14ac:dyDescent="0.25">
      <c r="C1100" s="83"/>
      <c r="D1100" s="88"/>
      <c r="E1100" s="88"/>
      <c r="F1100" s="88"/>
      <c r="G1100" s="94"/>
    </row>
    <row r="1101" spans="3:7" x14ac:dyDescent="0.25">
      <c r="C1101" s="83"/>
      <c r="D1101" s="88"/>
      <c r="E1101" s="88"/>
      <c r="F1101" s="88"/>
      <c r="G1101" s="94"/>
    </row>
    <row r="1102" spans="3:7" x14ac:dyDescent="0.25">
      <c r="C1102" s="83"/>
      <c r="D1102" s="84"/>
      <c r="E1102" s="84"/>
      <c r="F1102" s="84"/>
      <c r="G1102" s="94"/>
    </row>
    <row r="1103" spans="3:7" x14ac:dyDescent="0.25">
      <c r="C1103" s="83"/>
      <c r="D1103" s="88"/>
      <c r="E1103" s="88"/>
      <c r="F1103" s="88"/>
      <c r="G1103" s="94"/>
    </row>
    <row r="1104" spans="3:7" x14ac:dyDescent="0.25">
      <c r="C1104" s="83"/>
      <c r="D1104" s="84"/>
      <c r="E1104" s="84"/>
      <c r="F1104" s="84"/>
      <c r="G1104" s="94"/>
    </row>
    <row r="1105" spans="3:7" x14ac:dyDescent="0.25">
      <c r="C1105" s="83"/>
      <c r="D1105" s="88"/>
      <c r="E1105" s="88"/>
      <c r="F1105" s="88"/>
      <c r="G1105" s="94"/>
    </row>
    <row r="1106" spans="3:7" x14ac:dyDescent="0.25">
      <c r="C1106" s="83"/>
      <c r="D1106" s="88"/>
      <c r="E1106" s="88"/>
      <c r="F1106" s="88"/>
      <c r="G1106" s="94"/>
    </row>
    <row r="1107" spans="3:7" x14ac:dyDescent="0.25">
      <c r="C1107" s="83"/>
      <c r="D1107" s="88"/>
      <c r="E1107" s="88"/>
      <c r="F1107" s="88"/>
      <c r="G1107" s="94"/>
    </row>
    <row r="1108" spans="3:7" x14ac:dyDescent="0.25">
      <c r="C1108" s="83"/>
      <c r="D1108" s="88"/>
      <c r="E1108" s="88"/>
      <c r="F1108" s="88"/>
      <c r="G1108" s="94"/>
    </row>
    <row r="1109" spans="3:7" x14ac:dyDescent="0.25">
      <c r="C1109" s="83"/>
      <c r="D1109" s="88"/>
      <c r="E1109" s="88"/>
      <c r="F1109" s="88"/>
      <c r="G1109" s="94"/>
    </row>
    <row r="1110" spans="3:7" x14ac:dyDescent="0.25">
      <c r="C1110" s="83"/>
      <c r="D1110" s="88"/>
      <c r="E1110" s="88"/>
      <c r="F1110" s="88"/>
      <c r="G1110" s="94"/>
    </row>
    <row r="1111" spans="3:7" x14ac:dyDescent="0.25">
      <c r="C1111" s="83"/>
      <c r="D1111" s="88"/>
      <c r="E1111" s="88"/>
      <c r="F1111" s="88"/>
      <c r="G1111" s="94"/>
    </row>
    <row r="1112" spans="3:7" x14ac:dyDescent="0.25">
      <c r="C1112" s="83"/>
      <c r="D1112" s="88"/>
      <c r="E1112" s="88"/>
      <c r="F1112" s="88"/>
      <c r="G1112" s="94"/>
    </row>
    <row r="1113" spans="3:7" x14ac:dyDescent="0.25">
      <c r="C1113" s="83"/>
      <c r="D1113" s="84"/>
      <c r="E1113" s="84"/>
      <c r="F1113" s="84"/>
      <c r="G1113" s="94"/>
    </row>
    <row r="1114" spans="3:7" x14ac:dyDescent="0.25">
      <c r="C1114" s="83"/>
      <c r="D1114" s="88"/>
      <c r="E1114" s="88"/>
      <c r="F1114" s="88"/>
      <c r="G1114" s="94"/>
    </row>
    <row r="1115" spans="3:7" x14ac:dyDescent="0.25">
      <c r="C1115" s="83"/>
      <c r="D1115" s="84"/>
      <c r="E1115" s="84"/>
      <c r="F1115" s="84"/>
      <c r="G1115" s="94"/>
    </row>
    <row r="1116" spans="3:7" x14ac:dyDescent="0.25">
      <c r="C1116" s="83"/>
      <c r="D1116" s="88"/>
      <c r="E1116" s="88"/>
      <c r="F1116" s="88"/>
      <c r="G1116" s="94"/>
    </row>
    <row r="1117" spans="3:7" x14ac:dyDescent="0.25">
      <c r="C1117" s="83"/>
      <c r="D1117" s="88"/>
      <c r="E1117" s="88"/>
      <c r="F1117" s="88"/>
      <c r="G1117" s="94"/>
    </row>
    <row r="1118" spans="3:7" x14ac:dyDescent="0.25">
      <c r="C1118" s="83"/>
      <c r="D1118" s="84"/>
      <c r="E1118" s="84"/>
      <c r="F1118" s="84"/>
      <c r="G1118" s="94"/>
    </row>
    <row r="1119" spans="3:7" x14ac:dyDescent="0.25">
      <c r="C1119" s="83"/>
      <c r="D1119" s="88"/>
      <c r="E1119" s="88"/>
      <c r="F1119" s="88"/>
      <c r="G1119" s="94"/>
    </row>
    <row r="1120" spans="3:7" x14ac:dyDescent="0.25">
      <c r="C1120" s="83"/>
      <c r="D1120" s="84"/>
      <c r="E1120" s="84"/>
      <c r="F1120" s="84"/>
      <c r="G1120" s="94"/>
    </row>
    <row r="1121" spans="3:7" x14ac:dyDescent="0.25">
      <c r="C1121" s="83"/>
      <c r="D1121" s="88"/>
      <c r="E1121" s="88"/>
      <c r="F1121" s="84"/>
      <c r="G1121" s="94"/>
    </row>
    <row r="1122" spans="3:7" x14ac:dyDescent="0.25">
      <c r="C1122" s="83"/>
      <c r="D1122" s="84"/>
      <c r="E1122" s="84"/>
      <c r="F1122" s="84"/>
      <c r="G1122" s="94"/>
    </row>
    <row r="1123" spans="3:7" x14ac:dyDescent="0.25">
      <c r="C1123" s="83"/>
      <c r="D1123" s="88"/>
      <c r="E1123" s="88"/>
      <c r="F1123" s="84"/>
      <c r="G1123" s="94"/>
    </row>
    <row r="1124" spans="3:7" x14ac:dyDescent="0.25">
      <c r="C1124" s="83"/>
      <c r="D1124" s="88"/>
      <c r="E1124" s="88"/>
      <c r="F1124" s="88"/>
      <c r="G1124" s="94"/>
    </row>
    <row r="1125" spans="3:7" x14ac:dyDescent="0.25">
      <c r="C1125" s="83"/>
      <c r="D1125" s="84"/>
      <c r="E1125" s="84"/>
      <c r="F1125" s="84"/>
      <c r="G1125" s="94"/>
    </row>
    <row r="1126" spans="3:7" x14ac:dyDescent="0.25">
      <c r="C1126" s="83"/>
      <c r="D1126" s="84"/>
      <c r="E1126" s="84"/>
      <c r="F1126" s="84"/>
      <c r="G1126" s="94"/>
    </row>
    <row r="1127" spans="3:7" x14ac:dyDescent="0.25">
      <c r="C1127" s="83"/>
      <c r="D1127" s="84"/>
      <c r="E1127" s="84"/>
      <c r="F1127" s="84"/>
      <c r="G1127" s="94"/>
    </row>
    <row r="1128" spans="3:7" x14ac:dyDescent="0.25">
      <c r="C1128" s="83"/>
      <c r="D1128" s="84"/>
      <c r="E1128" s="84"/>
      <c r="F1128" s="84"/>
      <c r="G1128" s="94"/>
    </row>
    <row r="1129" spans="3:7" x14ac:dyDescent="0.25">
      <c r="C1129" s="83"/>
      <c r="D1129" s="84"/>
      <c r="E1129" s="84"/>
      <c r="F1129" s="84"/>
      <c r="G1129" s="94"/>
    </row>
    <row r="1130" spans="3:7" x14ac:dyDescent="0.25">
      <c r="C1130" s="83"/>
      <c r="D1130" s="84"/>
      <c r="E1130" s="84"/>
      <c r="F1130" s="84"/>
      <c r="G1130" s="94"/>
    </row>
    <row r="1131" spans="3:7" x14ac:dyDescent="0.25">
      <c r="C1131" s="83"/>
      <c r="D1131" s="84"/>
      <c r="E1131" s="84"/>
      <c r="F1131" s="84"/>
      <c r="G1131" s="94"/>
    </row>
    <row r="1132" spans="3:7" x14ac:dyDescent="0.25">
      <c r="C1132" s="83"/>
      <c r="D1132" s="84"/>
      <c r="E1132" s="84"/>
      <c r="F1132" s="84"/>
      <c r="G1132" s="94"/>
    </row>
    <row r="1133" spans="3:7" x14ac:dyDescent="0.25">
      <c r="C1133" s="83"/>
      <c r="D1133" s="84"/>
      <c r="E1133" s="84"/>
      <c r="F1133" s="84"/>
      <c r="G1133" s="94"/>
    </row>
    <row r="1134" spans="3:7" x14ac:dyDescent="0.25">
      <c r="C1134" s="83"/>
      <c r="D1134" s="84"/>
      <c r="E1134" s="84"/>
      <c r="F1134" s="84"/>
      <c r="G1134" s="94"/>
    </row>
    <row r="1135" spans="3:7" x14ac:dyDescent="0.25">
      <c r="C1135" s="83"/>
      <c r="D1135" s="84"/>
      <c r="E1135" s="84"/>
      <c r="F1135" s="84"/>
      <c r="G1135" s="94"/>
    </row>
    <row r="1136" spans="3:7" x14ac:dyDescent="0.25">
      <c r="C1136" s="83"/>
      <c r="D1136" s="84"/>
      <c r="E1136" s="84"/>
      <c r="F1136" s="84"/>
      <c r="G1136" s="94"/>
    </row>
    <row r="1137" spans="3:7" ht="15.75" x14ac:dyDescent="0.25">
      <c r="C1137" s="89"/>
      <c r="D1137" s="90"/>
      <c r="E1137" s="90"/>
      <c r="F1137" s="90"/>
      <c r="G1137" s="94"/>
    </row>
    <row r="1138" spans="3:7" ht="15.75" x14ac:dyDescent="0.25">
      <c r="C1138" s="89"/>
      <c r="D1138" s="90"/>
      <c r="E1138" s="90"/>
      <c r="F1138" s="90"/>
      <c r="G1138" s="94"/>
    </row>
    <row r="1139" spans="3:7" ht="15.75" x14ac:dyDescent="0.25">
      <c r="C1139" s="89"/>
      <c r="D1139" s="90"/>
      <c r="E1139" s="90"/>
      <c r="F1139" s="90"/>
      <c r="G1139" s="94"/>
    </row>
    <row r="1140" spans="3:7" ht="15.75" x14ac:dyDescent="0.25">
      <c r="C1140" s="89"/>
      <c r="D1140" s="90"/>
      <c r="E1140" s="90"/>
      <c r="F1140" s="90"/>
      <c r="G1140" s="94"/>
    </row>
    <row r="1141" spans="3:7" ht="15.75" x14ac:dyDescent="0.25">
      <c r="C1141" s="89"/>
      <c r="D1141" s="90"/>
      <c r="E1141" s="90"/>
      <c r="F1141" s="90"/>
      <c r="G1141" s="94"/>
    </row>
    <row r="1142" spans="3:7" ht="15.75" x14ac:dyDescent="0.25">
      <c r="C1142" s="89"/>
      <c r="D1142" s="90"/>
      <c r="E1142" s="90"/>
      <c r="F1142" s="90"/>
      <c r="G1142" s="94"/>
    </row>
    <row r="1143" spans="3:7" ht="15.75" x14ac:dyDescent="0.25">
      <c r="C1143" s="89"/>
      <c r="D1143" s="90"/>
      <c r="E1143" s="90"/>
      <c r="F1143" s="90"/>
      <c r="G1143" s="94"/>
    </row>
    <row r="1144" spans="3:7" ht="15.75" x14ac:dyDescent="0.25">
      <c r="C1144" s="89"/>
      <c r="D1144" s="90"/>
      <c r="E1144" s="90"/>
      <c r="F1144" s="90"/>
      <c r="G1144" s="94"/>
    </row>
    <row r="1145" spans="3:7" ht="15.75" x14ac:dyDescent="0.25">
      <c r="C1145" s="89"/>
      <c r="D1145" s="90"/>
      <c r="E1145" s="90"/>
      <c r="F1145" s="90"/>
      <c r="G1145" s="94"/>
    </row>
    <row r="1146" spans="3:7" ht="15.75" x14ac:dyDescent="0.25">
      <c r="C1146" s="89"/>
      <c r="D1146" s="90"/>
      <c r="E1146" s="90"/>
      <c r="F1146" s="90"/>
      <c r="G1146" s="94"/>
    </row>
    <row r="1147" spans="3:7" ht="15.75" x14ac:dyDescent="0.25">
      <c r="C1147" s="89"/>
      <c r="D1147" s="90"/>
      <c r="E1147" s="90"/>
      <c r="F1147" s="90"/>
      <c r="G1147" s="94"/>
    </row>
    <row r="1148" spans="3:7" ht="15.75" x14ac:dyDescent="0.25">
      <c r="C1148" s="89"/>
      <c r="D1148" s="90"/>
      <c r="E1148" s="90"/>
      <c r="F1148" s="90"/>
      <c r="G1148" s="94"/>
    </row>
    <row r="1149" spans="3:7" ht="15.75" x14ac:dyDescent="0.25">
      <c r="C1149" s="89"/>
      <c r="D1149" s="90"/>
      <c r="E1149" s="90"/>
      <c r="F1149" s="90"/>
      <c r="G1149" s="94"/>
    </row>
    <row r="1150" spans="3:7" ht="15.75" x14ac:dyDescent="0.25">
      <c r="C1150" s="89"/>
      <c r="D1150" s="90"/>
      <c r="E1150" s="90"/>
      <c r="F1150" s="90"/>
      <c r="G1150" s="94"/>
    </row>
    <row r="1151" spans="3:7" ht="15.75" x14ac:dyDescent="0.25">
      <c r="C1151" s="89"/>
      <c r="D1151" s="90"/>
      <c r="E1151" s="90"/>
      <c r="F1151" s="90"/>
      <c r="G1151" s="94"/>
    </row>
    <row r="1152" spans="3:7" ht="15.75" x14ac:dyDescent="0.25">
      <c r="C1152" s="89"/>
      <c r="D1152" s="90"/>
      <c r="E1152" s="90"/>
      <c r="F1152" s="90"/>
      <c r="G1152" s="94"/>
    </row>
    <row r="1153" spans="3:7" ht="15.75" x14ac:dyDescent="0.25">
      <c r="C1153" s="89"/>
      <c r="D1153" s="90"/>
      <c r="E1153" s="90"/>
      <c r="F1153" s="90"/>
      <c r="G1153" s="94"/>
    </row>
    <row r="1154" spans="3:7" ht="15.75" x14ac:dyDescent="0.25">
      <c r="C1154" s="89"/>
      <c r="D1154" s="90"/>
      <c r="E1154" s="90"/>
      <c r="F1154" s="90"/>
      <c r="G1154" s="94"/>
    </row>
    <row r="1155" spans="3:7" ht="15.75" x14ac:dyDescent="0.25">
      <c r="C1155" s="89"/>
      <c r="D1155" s="90"/>
      <c r="E1155" s="90"/>
      <c r="F1155" s="90"/>
      <c r="G1155" s="94"/>
    </row>
    <row r="1156" spans="3:7" ht="15.75" x14ac:dyDescent="0.25">
      <c r="C1156" s="89"/>
      <c r="D1156" s="90"/>
      <c r="E1156" s="90"/>
      <c r="F1156" s="90"/>
      <c r="G1156" s="94"/>
    </row>
    <row r="1157" spans="3:7" ht="15.75" x14ac:dyDescent="0.25">
      <c r="C1157" s="89"/>
      <c r="D1157" s="90"/>
      <c r="E1157" s="90"/>
      <c r="F1157" s="90"/>
      <c r="G1157" s="94"/>
    </row>
    <row r="1158" spans="3:7" ht="15.75" x14ac:dyDescent="0.25">
      <c r="C1158" s="89"/>
      <c r="D1158" s="90"/>
      <c r="E1158" s="90"/>
      <c r="F1158" s="90"/>
      <c r="G1158" s="94"/>
    </row>
    <row r="1159" spans="3:7" ht="15.75" x14ac:dyDescent="0.25">
      <c r="C1159" s="89"/>
      <c r="D1159" s="90"/>
      <c r="E1159" s="90"/>
      <c r="F1159" s="90"/>
      <c r="G1159" s="94"/>
    </row>
    <row r="1160" spans="3:7" ht="15.75" x14ac:dyDescent="0.25">
      <c r="C1160" s="89"/>
      <c r="D1160" s="90"/>
      <c r="E1160" s="90"/>
      <c r="F1160" s="90"/>
      <c r="G1160" s="94"/>
    </row>
    <row r="1161" spans="3:7" ht="15.75" x14ac:dyDescent="0.25">
      <c r="C1161" s="89"/>
      <c r="D1161" s="90"/>
      <c r="E1161" s="90"/>
      <c r="F1161" s="90"/>
      <c r="G1161" s="94"/>
    </row>
    <row r="1162" spans="3:7" ht="15.75" x14ac:dyDescent="0.25">
      <c r="C1162" s="89"/>
      <c r="D1162" s="90"/>
      <c r="E1162" s="90"/>
      <c r="F1162" s="90"/>
      <c r="G1162" s="94"/>
    </row>
    <row r="1163" spans="3:7" ht="15.75" x14ac:dyDescent="0.25">
      <c r="C1163" s="89"/>
      <c r="D1163" s="90"/>
      <c r="E1163" s="90"/>
      <c r="F1163" s="90"/>
      <c r="G1163" s="94"/>
    </row>
    <row r="1164" spans="3:7" ht="15.75" x14ac:dyDescent="0.25">
      <c r="C1164" s="89"/>
      <c r="D1164" s="90"/>
      <c r="E1164" s="90"/>
      <c r="F1164" s="90"/>
      <c r="G1164" s="94"/>
    </row>
    <row r="1165" spans="3:7" ht="15.75" x14ac:dyDescent="0.25">
      <c r="C1165" s="89"/>
      <c r="D1165" s="90"/>
      <c r="E1165" s="90"/>
      <c r="F1165" s="90"/>
      <c r="G1165" s="94"/>
    </row>
    <row r="1166" spans="3:7" ht="15.75" x14ac:dyDescent="0.25">
      <c r="C1166" s="89"/>
      <c r="D1166" s="90"/>
      <c r="E1166" s="90"/>
      <c r="F1166" s="90"/>
      <c r="G1166" s="94"/>
    </row>
    <row r="1167" spans="3:7" ht="15.75" x14ac:dyDescent="0.25">
      <c r="C1167" s="89"/>
      <c r="D1167" s="90"/>
      <c r="E1167" s="90"/>
      <c r="F1167" s="90"/>
      <c r="G1167" s="94"/>
    </row>
    <row r="1168" spans="3:7" ht="15.75" x14ac:dyDescent="0.25">
      <c r="C1168" s="89"/>
      <c r="D1168" s="90"/>
      <c r="E1168" s="90"/>
      <c r="F1168" s="90"/>
      <c r="G1168" s="94"/>
    </row>
    <row r="1169" spans="3:7" ht="15.75" x14ac:dyDescent="0.25">
      <c r="C1169" s="89"/>
      <c r="D1169" s="90"/>
      <c r="E1169" s="90"/>
      <c r="F1169" s="90"/>
      <c r="G1169" s="94"/>
    </row>
    <row r="1170" spans="3:7" ht="15.75" x14ac:dyDescent="0.25">
      <c r="C1170" s="89"/>
      <c r="D1170" s="90"/>
      <c r="E1170" s="90"/>
      <c r="F1170" s="90"/>
      <c r="G1170" s="94"/>
    </row>
    <row r="1171" spans="3:7" ht="15.75" x14ac:dyDescent="0.25">
      <c r="C1171" s="89"/>
      <c r="D1171" s="90"/>
      <c r="E1171" s="90"/>
      <c r="F1171" s="90"/>
      <c r="G1171" s="94"/>
    </row>
    <row r="1172" spans="3:7" ht="15.75" x14ac:dyDescent="0.25">
      <c r="C1172" s="89"/>
      <c r="D1172" s="90"/>
      <c r="E1172" s="90"/>
      <c r="F1172" s="90"/>
      <c r="G1172" s="94"/>
    </row>
    <row r="1173" spans="3:7" ht="15.75" x14ac:dyDescent="0.25">
      <c r="C1173" s="89"/>
      <c r="D1173" s="90"/>
      <c r="E1173" s="90"/>
      <c r="F1173" s="90"/>
      <c r="G1173" s="94"/>
    </row>
    <row r="1174" spans="3:7" ht="15.75" x14ac:dyDescent="0.25">
      <c r="C1174" s="89"/>
      <c r="D1174" s="90"/>
      <c r="E1174" s="90"/>
      <c r="F1174" s="90"/>
      <c r="G1174" s="94"/>
    </row>
    <row r="1175" spans="3:7" ht="15.75" x14ac:dyDescent="0.25">
      <c r="C1175" s="89"/>
      <c r="D1175" s="90"/>
      <c r="E1175" s="90"/>
      <c r="F1175" s="90"/>
      <c r="G1175" s="94"/>
    </row>
    <row r="1176" spans="3:7" ht="15.75" x14ac:dyDescent="0.25">
      <c r="C1176" s="89"/>
      <c r="D1176" s="90"/>
      <c r="E1176" s="90"/>
      <c r="F1176" s="90"/>
      <c r="G1176" s="94"/>
    </row>
    <row r="1177" spans="3:7" ht="15.75" x14ac:dyDescent="0.25">
      <c r="C1177" s="89"/>
      <c r="D1177" s="90"/>
      <c r="E1177" s="90"/>
      <c r="F1177" s="90"/>
      <c r="G1177" s="94"/>
    </row>
    <row r="1178" spans="3:7" ht="15.75" x14ac:dyDescent="0.25">
      <c r="C1178" s="89"/>
      <c r="D1178" s="90"/>
      <c r="E1178" s="90"/>
      <c r="F1178" s="90"/>
      <c r="G1178" s="94"/>
    </row>
    <row r="1179" spans="3:7" x14ac:dyDescent="0.25">
      <c r="C1179" s="83"/>
      <c r="D1179" s="84"/>
      <c r="E1179" s="84"/>
      <c r="F1179" s="84"/>
      <c r="G1179" s="94"/>
    </row>
    <row r="1180" spans="3:7" x14ac:dyDescent="0.25">
      <c r="C1180" s="83"/>
      <c r="D1180" s="84"/>
      <c r="E1180" s="84"/>
      <c r="F1180" s="84"/>
      <c r="G1180" s="94"/>
    </row>
    <row r="1181" spans="3:7" x14ac:dyDescent="0.25">
      <c r="C1181" s="83"/>
      <c r="D1181" s="84"/>
      <c r="E1181" s="84"/>
      <c r="F1181" s="84"/>
      <c r="G1181" s="94"/>
    </row>
    <row r="1182" spans="3:7" x14ac:dyDescent="0.25">
      <c r="C1182" s="83"/>
      <c r="D1182" s="84"/>
      <c r="E1182" s="84"/>
      <c r="F1182" s="84"/>
      <c r="G1182" s="94"/>
    </row>
    <row r="1183" spans="3:7" x14ac:dyDescent="0.25">
      <c r="C1183" s="83"/>
      <c r="D1183" s="84"/>
      <c r="E1183" s="84"/>
      <c r="F1183" s="84"/>
      <c r="G1183" s="94"/>
    </row>
    <row r="1184" spans="3:7" x14ac:dyDescent="0.25">
      <c r="C1184" s="83"/>
      <c r="D1184" s="84"/>
      <c r="E1184" s="84"/>
      <c r="F1184" s="84"/>
      <c r="G1184" s="94"/>
    </row>
    <row r="1185" spans="3:7" x14ac:dyDescent="0.25">
      <c r="C1185" s="83"/>
      <c r="D1185" s="84"/>
      <c r="E1185" s="84"/>
      <c r="F1185" s="84"/>
      <c r="G1185" s="94"/>
    </row>
    <row r="1186" spans="3:7" x14ac:dyDescent="0.25">
      <c r="C1186" s="83"/>
      <c r="D1186" s="84"/>
      <c r="E1186" s="84"/>
      <c r="F1186" s="84"/>
      <c r="G1186" s="94"/>
    </row>
    <row r="1187" spans="3:7" x14ac:dyDescent="0.25">
      <c r="C1187" s="83"/>
      <c r="D1187" s="84"/>
      <c r="E1187" s="84"/>
      <c r="F1187" s="84"/>
      <c r="G1187" s="94"/>
    </row>
    <row r="1188" spans="3:7" x14ac:dyDescent="0.25">
      <c r="C1188" s="83"/>
      <c r="D1188" s="84"/>
      <c r="E1188" s="84"/>
      <c r="F1188" s="84"/>
      <c r="G1188" s="94"/>
    </row>
    <row r="1189" spans="3:7" x14ac:dyDescent="0.25">
      <c r="C1189" s="83"/>
      <c r="D1189" s="84"/>
      <c r="E1189" s="84"/>
      <c r="F1189" s="84"/>
      <c r="G1189" s="94"/>
    </row>
    <row r="1190" spans="3:7" x14ac:dyDescent="0.25">
      <c r="C1190" s="83"/>
      <c r="D1190" s="84"/>
      <c r="E1190" s="84"/>
      <c r="F1190" s="84"/>
      <c r="G1190" s="94"/>
    </row>
    <row r="1191" spans="3:7" x14ac:dyDescent="0.25">
      <c r="C1191" s="83"/>
      <c r="D1191" s="84"/>
      <c r="E1191" s="84"/>
      <c r="F1191" s="84"/>
      <c r="G1191" s="94"/>
    </row>
    <row r="1192" spans="3:7" x14ac:dyDescent="0.25">
      <c r="C1192" s="83"/>
      <c r="D1192" s="84"/>
      <c r="E1192" s="84"/>
      <c r="F1192" s="84"/>
      <c r="G1192" s="94"/>
    </row>
    <row r="1193" spans="3:7" x14ac:dyDescent="0.25">
      <c r="C1193" s="83"/>
      <c r="D1193" s="84"/>
      <c r="E1193" s="84"/>
      <c r="F1193" s="84"/>
      <c r="G1193" s="94"/>
    </row>
    <row r="1194" spans="3:7" x14ac:dyDescent="0.25">
      <c r="C1194" s="83"/>
      <c r="D1194" s="84"/>
      <c r="E1194" s="84"/>
      <c r="F1194" s="84"/>
      <c r="G1194" s="94"/>
    </row>
    <row r="1195" spans="3:7" x14ac:dyDescent="0.25">
      <c r="C1195" s="83"/>
      <c r="D1195" s="84"/>
      <c r="E1195" s="84"/>
      <c r="F1195" s="84"/>
      <c r="G1195" s="94"/>
    </row>
    <row r="1196" spans="3:7" x14ac:dyDescent="0.25">
      <c r="C1196" s="83"/>
      <c r="D1196" s="84"/>
      <c r="E1196" s="84"/>
      <c r="F1196" s="84"/>
      <c r="G1196" s="94"/>
    </row>
    <row r="1197" spans="3:7" x14ac:dyDescent="0.25">
      <c r="C1197" s="83"/>
      <c r="D1197" s="84"/>
      <c r="E1197" s="84"/>
      <c r="F1197" s="84"/>
      <c r="G1197" s="94"/>
    </row>
    <row r="1198" spans="3:7" x14ac:dyDescent="0.25">
      <c r="C1198" s="83"/>
      <c r="D1198" s="84"/>
      <c r="E1198" s="84"/>
      <c r="F1198" s="84"/>
      <c r="G1198" s="94"/>
    </row>
    <row r="1199" spans="3:7" x14ac:dyDescent="0.25">
      <c r="C1199" s="83"/>
      <c r="D1199" s="84"/>
      <c r="E1199" s="84"/>
      <c r="F1199" s="84"/>
      <c r="G1199" s="94"/>
    </row>
    <row r="1200" spans="3:7" x14ac:dyDescent="0.25">
      <c r="C1200" s="83"/>
      <c r="D1200" s="84"/>
      <c r="E1200" s="84"/>
      <c r="F1200" s="84"/>
      <c r="G1200" s="94"/>
    </row>
    <row r="1201" spans="3:7" x14ac:dyDescent="0.25">
      <c r="C1201" s="83"/>
      <c r="D1201" s="84"/>
      <c r="E1201" s="84"/>
      <c r="F1201" s="84"/>
      <c r="G1201" s="94"/>
    </row>
    <row r="1202" spans="3:7" x14ac:dyDescent="0.25">
      <c r="C1202" s="83"/>
      <c r="D1202" s="84"/>
      <c r="E1202" s="84"/>
      <c r="F1202" s="84"/>
      <c r="G1202" s="94"/>
    </row>
    <row r="1203" spans="3:7" x14ac:dyDescent="0.25">
      <c r="C1203" s="83"/>
      <c r="D1203" s="84"/>
      <c r="E1203" s="84"/>
      <c r="F1203" s="84"/>
      <c r="G1203" s="94"/>
    </row>
    <row r="1204" spans="3:7" x14ac:dyDescent="0.25">
      <c r="C1204" s="83"/>
      <c r="D1204" s="84"/>
      <c r="E1204" s="84"/>
      <c r="F1204" s="84"/>
      <c r="G1204" s="94"/>
    </row>
    <row r="1205" spans="3:7" x14ac:dyDescent="0.25">
      <c r="C1205" s="83"/>
      <c r="D1205" s="84"/>
      <c r="E1205" s="84"/>
      <c r="F1205" s="84"/>
      <c r="G1205" s="94"/>
    </row>
    <row r="1206" spans="3:7" x14ac:dyDescent="0.25">
      <c r="C1206" s="83"/>
      <c r="D1206" s="84"/>
      <c r="E1206" s="84"/>
      <c r="F1206" s="84"/>
      <c r="G1206" s="94"/>
    </row>
    <row r="1207" spans="3:7" x14ac:dyDescent="0.25">
      <c r="C1207" s="83"/>
      <c r="D1207" s="84"/>
      <c r="E1207" s="84"/>
      <c r="F1207" s="84"/>
      <c r="G1207" s="94"/>
    </row>
    <row r="1208" spans="3:7" x14ac:dyDescent="0.25">
      <c r="C1208" s="83"/>
      <c r="D1208" s="84"/>
      <c r="E1208" s="84"/>
      <c r="F1208" s="84"/>
      <c r="G1208" s="94"/>
    </row>
    <row r="1209" spans="3:7" x14ac:dyDescent="0.25">
      <c r="C1209" s="83"/>
      <c r="D1209" s="84"/>
      <c r="E1209" s="84"/>
      <c r="F1209" s="84"/>
      <c r="G1209" s="94"/>
    </row>
    <row r="1210" spans="3:7" x14ac:dyDescent="0.25">
      <c r="C1210" s="83"/>
      <c r="D1210" s="84"/>
      <c r="E1210" s="84"/>
      <c r="F1210" s="84"/>
      <c r="G1210" s="94"/>
    </row>
    <row r="1211" spans="3:7" x14ac:dyDescent="0.25">
      <c r="C1211" s="83"/>
      <c r="D1211" s="84"/>
      <c r="E1211" s="84"/>
      <c r="F1211" s="84"/>
      <c r="G1211" s="94"/>
    </row>
    <row r="1212" spans="3:7" x14ac:dyDescent="0.25">
      <c r="C1212" s="83"/>
      <c r="D1212" s="84"/>
      <c r="E1212" s="84"/>
      <c r="F1212" s="84"/>
      <c r="G1212" s="94"/>
    </row>
    <row r="1213" spans="3:7" x14ac:dyDescent="0.25">
      <c r="C1213" s="83"/>
      <c r="D1213" s="84"/>
      <c r="E1213" s="84"/>
      <c r="F1213" s="84"/>
      <c r="G1213" s="94"/>
    </row>
    <row r="1214" spans="3:7" x14ac:dyDescent="0.25">
      <c r="C1214" s="83"/>
      <c r="D1214" s="84"/>
      <c r="E1214" s="84"/>
      <c r="F1214" s="84"/>
      <c r="G1214" s="94"/>
    </row>
    <row r="1215" spans="3:7" x14ac:dyDescent="0.25">
      <c r="C1215" s="83"/>
      <c r="D1215" s="84"/>
      <c r="E1215" s="84"/>
      <c r="F1215" s="84"/>
      <c r="G1215" s="94"/>
    </row>
    <row r="1216" spans="3:7" x14ac:dyDescent="0.25">
      <c r="C1216" s="83"/>
      <c r="D1216" s="84"/>
      <c r="E1216" s="84"/>
      <c r="F1216" s="84"/>
      <c r="G1216" s="94"/>
    </row>
    <row r="1217" spans="3:7" x14ac:dyDescent="0.25">
      <c r="C1217" s="83"/>
      <c r="D1217" s="84"/>
      <c r="E1217" s="84"/>
      <c r="F1217" s="84"/>
      <c r="G1217" s="94"/>
    </row>
    <row r="1218" spans="3:7" x14ac:dyDescent="0.25">
      <c r="C1218" s="83"/>
      <c r="D1218" s="84"/>
      <c r="E1218" s="84"/>
      <c r="F1218" s="84"/>
      <c r="G1218" s="94"/>
    </row>
    <row r="1219" spans="3:7" x14ac:dyDescent="0.25">
      <c r="C1219" s="83"/>
      <c r="D1219" s="84"/>
      <c r="E1219" s="84"/>
      <c r="F1219" s="84"/>
      <c r="G1219" s="94"/>
    </row>
    <row r="1220" spans="3:7" x14ac:dyDescent="0.25">
      <c r="C1220" s="83"/>
      <c r="D1220" s="84"/>
      <c r="E1220" s="84"/>
      <c r="F1220" s="84"/>
      <c r="G1220" s="94"/>
    </row>
    <row r="1221" spans="3:7" x14ac:dyDescent="0.25">
      <c r="C1221" s="83"/>
      <c r="D1221" s="84"/>
      <c r="E1221" s="84"/>
      <c r="F1221" s="84"/>
      <c r="G1221" s="94"/>
    </row>
    <row r="1222" spans="3:7" x14ac:dyDescent="0.25">
      <c r="C1222" s="83"/>
      <c r="D1222" s="84"/>
      <c r="E1222" s="84"/>
      <c r="F1222" s="84"/>
      <c r="G1222" s="94"/>
    </row>
    <row r="1223" spans="3:7" x14ac:dyDescent="0.25">
      <c r="C1223" s="83"/>
      <c r="D1223" s="84"/>
      <c r="E1223" s="84"/>
      <c r="F1223" s="84"/>
      <c r="G1223" s="94"/>
    </row>
    <row r="1224" spans="3:7" x14ac:dyDescent="0.25">
      <c r="C1224" s="83"/>
      <c r="D1224" s="84"/>
      <c r="E1224" s="84"/>
      <c r="F1224" s="84"/>
      <c r="G1224" s="94"/>
    </row>
    <row r="1225" spans="3:7" x14ac:dyDescent="0.25">
      <c r="C1225" s="83"/>
      <c r="D1225" s="84"/>
      <c r="E1225" s="84"/>
      <c r="F1225" s="84"/>
      <c r="G1225" s="94"/>
    </row>
    <row r="1226" spans="3:7" x14ac:dyDescent="0.25">
      <c r="C1226" s="83"/>
      <c r="D1226" s="84"/>
      <c r="E1226" s="84"/>
      <c r="F1226" s="84"/>
      <c r="G1226" s="94"/>
    </row>
    <row r="1227" spans="3:7" x14ac:dyDescent="0.25">
      <c r="C1227" s="83"/>
      <c r="D1227" s="84"/>
      <c r="E1227" s="84"/>
      <c r="F1227" s="84"/>
      <c r="G1227" s="94"/>
    </row>
    <row r="1228" spans="3:7" x14ac:dyDescent="0.25">
      <c r="C1228" s="83"/>
      <c r="D1228" s="84"/>
      <c r="E1228" s="84"/>
      <c r="F1228" s="84"/>
      <c r="G1228" s="94"/>
    </row>
    <row r="1229" spans="3:7" x14ac:dyDescent="0.25">
      <c r="C1229" s="83"/>
      <c r="D1229" s="84"/>
      <c r="E1229" s="84"/>
      <c r="F1229" s="84"/>
      <c r="G1229" s="94"/>
    </row>
    <row r="1230" spans="3:7" x14ac:dyDescent="0.25">
      <c r="C1230" s="83"/>
      <c r="D1230" s="84"/>
      <c r="E1230" s="84"/>
      <c r="F1230" s="84"/>
      <c r="G1230" s="94"/>
    </row>
    <row r="1231" spans="3:7" x14ac:dyDescent="0.25">
      <c r="C1231" s="83"/>
      <c r="D1231" s="84"/>
      <c r="E1231" s="84"/>
      <c r="F1231" s="84"/>
      <c r="G1231" s="94"/>
    </row>
    <row r="1232" spans="3:7" x14ac:dyDescent="0.25">
      <c r="C1232" s="83"/>
      <c r="D1232" s="84"/>
      <c r="E1232" s="84"/>
      <c r="F1232" s="84"/>
      <c r="G1232" s="94"/>
    </row>
    <row r="1233" spans="3:7" x14ac:dyDescent="0.25">
      <c r="C1233" s="83"/>
      <c r="D1233" s="84"/>
      <c r="E1233" s="84"/>
      <c r="F1233" s="84"/>
      <c r="G1233" s="94"/>
    </row>
    <row r="1234" spans="3:7" x14ac:dyDescent="0.25">
      <c r="C1234" s="83"/>
      <c r="D1234" s="84"/>
      <c r="E1234" s="84"/>
      <c r="F1234" s="84"/>
      <c r="G1234" s="94"/>
    </row>
    <row r="1235" spans="3:7" x14ac:dyDescent="0.25">
      <c r="C1235" s="83"/>
      <c r="D1235" s="84"/>
      <c r="E1235" s="84"/>
      <c r="F1235" s="84"/>
      <c r="G1235" s="94"/>
    </row>
    <row r="1236" spans="3:7" x14ac:dyDescent="0.25">
      <c r="C1236" s="83"/>
      <c r="D1236" s="84"/>
      <c r="E1236" s="84"/>
      <c r="F1236" s="84"/>
      <c r="G1236" s="94"/>
    </row>
    <row r="1237" spans="3:7" x14ac:dyDescent="0.25">
      <c r="C1237" s="83"/>
      <c r="D1237" s="84"/>
      <c r="E1237" s="84"/>
      <c r="F1237" s="84"/>
      <c r="G1237" s="94"/>
    </row>
    <row r="1238" spans="3:7" x14ac:dyDescent="0.25">
      <c r="C1238" s="83"/>
      <c r="D1238" s="84"/>
      <c r="E1238" s="84"/>
      <c r="F1238" s="84"/>
      <c r="G1238" s="94"/>
    </row>
    <row r="1239" spans="3:7" x14ac:dyDescent="0.25">
      <c r="C1239" s="83"/>
      <c r="D1239" s="84"/>
      <c r="E1239" s="84"/>
      <c r="F1239" s="84"/>
      <c r="G1239" s="94"/>
    </row>
    <row r="1240" spans="3:7" x14ac:dyDescent="0.25">
      <c r="C1240" s="83"/>
      <c r="D1240" s="84"/>
      <c r="E1240" s="84"/>
      <c r="F1240" s="84"/>
      <c r="G1240" s="94"/>
    </row>
    <row r="1241" spans="3:7" x14ac:dyDescent="0.25">
      <c r="C1241" s="83"/>
      <c r="D1241" s="84"/>
      <c r="E1241" s="84"/>
      <c r="F1241" s="84"/>
      <c r="G1241" s="94"/>
    </row>
    <row r="1242" spans="3:7" x14ac:dyDescent="0.25">
      <c r="C1242" s="83"/>
      <c r="D1242" s="84"/>
      <c r="E1242" s="84"/>
      <c r="F1242" s="84"/>
      <c r="G1242" s="94"/>
    </row>
    <row r="1243" spans="3:7" x14ac:dyDescent="0.25">
      <c r="C1243" s="83"/>
      <c r="D1243" s="84"/>
      <c r="E1243" s="84"/>
      <c r="F1243" s="84"/>
      <c r="G1243" s="94"/>
    </row>
    <row r="1244" spans="3:7" x14ac:dyDescent="0.25">
      <c r="C1244" s="83"/>
      <c r="D1244" s="84"/>
      <c r="E1244" s="84"/>
      <c r="F1244" s="84"/>
      <c r="G1244" s="94"/>
    </row>
    <row r="1245" spans="3:7" x14ac:dyDescent="0.25">
      <c r="C1245" s="83"/>
      <c r="D1245" s="84"/>
      <c r="E1245" s="84"/>
      <c r="F1245" s="84"/>
      <c r="G1245" s="94"/>
    </row>
    <row r="1246" spans="3:7" x14ac:dyDescent="0.25">
      <c r="C1246" s="83"/>
      <c r="D1246" s="84"/>
      <c r="E1246" s="84"/>
      <c r="F1246" s="84"/>
      <c r="G1246" s="94"/>
    </row>
    <row r="1247" spans="3:7" x14ac:dyDescent="0.25">
      <c r="C1247" s="83"/>
      <c r="D1247" s="84"/>
      <c r="E1247" s="84"/>
      <c r="F1247" s="84"/>
      <c r="G1247" s="94"/>
    </row>
    <row r="1248" spans="3:7" x14ac:dyDescent="0.25">
      <c r="C1248" s="83"/>
      <c r="D1248" s="84"/>
      <c r="E1248" s="84"/>
      <c r="F1248" s="84"/>
      <c r="G1248" s="94"/>
    </row>
    <row r="1249" spans="3:7" x14ac:dyDescent="0.25">
      <c r="C1249" s="83"/>
      <c r="D1249" s="84"/>
      <c r="E1249" s="84"/>
      <c r="F1249" s="84"/>
      <c r="G1249" s="94"/>
    </row>
    <row r="1250" spans="3:7" x14ac:dyDescent="0.25">
      <c r="C1250" s="83"/>
      <c r="D1250" s="84"/>
      <c r="E1250" s="84"/>
      <c r="F1250" s="84"/>
      <c r="G1250" s="94"/>
    </row>
    <row r="1251" spans="3:7" x14ac:dyDescent="0.25">
      <c r="C1251" s="83"/>
      <c r="D1251" s="84"/>
      <c r="E1251" s="84"/>
      <c r="F1251" s="84"/>
      <c r="G1251" s="94"/>
    </row>
    <row r="1252" spans="3:7" x14ac:dyDescent="0.25">
      <c r="C1252" s="83"/>
      <c r="D1252" s="84"/>
      <c r="E1252" s="84"/>
      <c r="F1252" s="84"/>
      <c r="G1252" s="94"/>
    </row>
    <row r="1253" spans="3:7" x14ac:dyDescent="0.25">
      <c r="C1253" s="83"/>
      <c r="D1253" s="84"/>
      <c r="E1253" s="84"/>
      <c r="F1253" s="84"/>
      <c r="G1253" s="94"/>
    </row>
    <row r="1254" spans="3:7" x14ac:dyDescent="0.25">
      <c r="C1254" s="83"/>
      <c r="D1254" s="84"/>
      <c r="E1254" s="84"/>
      <c r="F1254" s="84"/>
      <c r="G1254" s="94"/>
    </row>
    <row r="1255" spans="3:7" x14ac:dyDescent="0.25">
      <c r="C1255" s="83"/>
      <c r="D1255" s="84"/>
      <c r="E1255" s="84"/>
      <c r="F1255" s="84"/>
      <c r="G1255" s="94"/>
    </row>
    <row r="1256" spans="3:7" x14ac:dyDescent="0.25">
      <c r="C1256" s="83"/>
      <c r="D1256" s="84"/>
      <c r="E1256" s="84"/>
      <c r="F1256" s="84"/>
      <c r="G1256" s="94"/>
    </row>
    <row r="1257" spans="3:7" x14ac:dyDescent="0.25">
      <c r="C1257" s="83"/>
      <c r="D1257" s="84"/>
      <c r="E1257" s="84"/>
      <c r="F1257" s="84"/>
      <c r="G1257" s="94"/>
    </row>
    <row r="1258" spans="3:7" x14ac:dyDescent="0.25">
      <c r="C1258" s="83"/>
      <c r="D1258" s="84"/>
      <c r="E1258" s="84"/>
      <c r="F1258" s="84"/>
      <c r="G1258" s="94"/>
    </row>
    <row r="1259" spans="3:7" x14ac:dyDescent="0.25">
      <c r="C1259" s="83"/>
      <c r="D1259" s="84"/>
      <c r="E1259" s="84"/>
      <c r="F1259" s="84"/>
      <c r="G1259" s="94"/>
    </row>
    <row r="1260" spans="3:7" x14ac:dyDescent="0.25">
      <c r="C1260" s="83"/>
      <c r="D1260" s="84"/>
      <c r="E1260" s="84"/>
      <c r="F1260" s="84"/>
      <c r="G1260" s="94"/>
    </row>
    <row r="1261" spans="3:7" x14ac:dyDescent="0.25">
      <c r="C1261" s="83"/>
      <c r="D1261" s="84"/>
      <c r="E1261" s="84"/>
      <c r="F1261" s="84"/>
      <c r="G1261" s="94"/>
    </row>
    <row r="1262" spans="3:7" x14ac:dyDescent="0.25">
      <c r="C1262" s="83"/>
      <c r="D1262" s="84"/>
      <c r="E1262" s="84"/>
      <c r="F1262" s="84"/>
      <c r="G1262" s="94"/>
    </row>
    <row r="1263" spans="3:7" x14ac:dyDescent="0.25">
      <c r="C1263" s="83"/>
      <c r="D1263" s="84"/>
      <c r="E1263" s="84"/>
      <c r="F1263" s="84"/>
      <c r="G1263" s="94"/>
    </row>
    <row r="1264" spans="3:7" x14ac:dyDescent="0.25">
      <c r="C1264" s="83"/>
      <c r="D1264" s="84"/>
      <c r="E1264" s="84"/>
      <c r="F1264" s="84"/>
      <c r="G1264" s="94"/>
    </row>
    <row r="1265" spans="3:7" x14ac:dyDescent="0.25">
      <c r="C1265" s="83"/>
      <c r="D1265" s="84"/>
      <c r="E1265" s="84"/>
      <c r="F1265" s="84"/>
      <c r="G1265" s="94"/>
    </row>
    <row r="1266" spans="3:7" x14ac:dyDescent="0.25">
      <c r="C1266" s="83"/>
      <c r="D1266" s="84"/>
      <c r="E1266" s="84"/>
      <c r="F1266" s="84"/>
      <c r="G1266" s="94"/>
    </row>
    <row r="1267" spans="3:7" x14ac:dyDescent="0.25">
      <c r="C1267" s="83"/>
      <c r="D1267" s="84"/>
      <c r="E1267" s="84"/>
      <c r="F1267" s="84"/>
      <c r="G1267" s="94"/>
    </row>
    <row r="1268" spans="3:7" x14ac:dyDescent="0.25">
      <c r="C1268" s="83"/>
      <c r="D1268" s="84"/>
      <c r="E1268" s="84"/>
      <c r="F1268" s="84"/>
      <c r="G1268" s="94"/>
    </row>
    <row r="1269" spans="3:7" x14ac:dyDescent="0.25">
      <c r="C1269" s="83"/>
      <c r="D1269" s="84"/>
      <c r="E1269" s="84"/>
      <c r="F1269" s="84"/>
      <c r="G1269" s="94"/>
    </row>
    <row r="1270" spans="3:7" x14ac:dyDescent="0.25">
      <c r="C1270" s="83"/>
      <c r="D1270" s="84"/>
      <c r="E1270" s="84"/>
      <c r="F1270" s="84"/>
      <c r="G1270" s="94"/>
    </row>
    <row r="1271" spans="3:7" x14ac:dyDescent="0.25">
      <c r="C1271" s="83"/>
      <c r="D1271" s="84"/>
      <c r="E1271" s="84"/>
      <c r="F1271" s="84"/>
      <c r="G1271" s="94"/>
    </row>
    <row r="1272" spans="3:7" x14ac:dyDescent="0.25">
      <c r="C1272" s="83"/>
      <c r="D1272" s="84"/>
      <c r="E1272" s="84"/>
      <c r="F1272" s="84"/>
      <c r="G1272" s="94"/>
    </row>
    <row r="1273" spans="3:7" x14ac:dyDescent="0.25">
      <c r="C1273" s="83"/>
      <c r="D1273" s="84"/>
      <c r="E1273" s="84"/>
      <c r="F1273" s="84"/>
      <c r="G1273" s="94"/>
    </row>
    <row r="1274" spans="3:7" x14ac:dyDescent="0.25">
      <c r="C1274" s="83"/>
      <c r="D1274" s="84"/>
      <c r="E1274" s="84"/>
      <c r="F1274" s="84"/>
      <c r="G1274" s="94"/>
    </row>
    <row r="1275" spans="3:7" x14ac:dyDescent="0.25">
      <c r="C1275" s="83"/>
      <c r="D1275" s="84"/>
      <c r="E1275" s="84"/>
      <c r="F1275" s="84"/>
      <c r="G1275" s="94"/>
    </row>
    <row r="1276" spans="3:7" x14ac:dyDescent="0.25">
      <c r="C1276" s="83"/>
      <c r="D1276" s="84"/>
      <c r="E1276" s="84"/>
      <c r="F1276" s="84"/>
      <c r="G1276" s="94"/>
    </row>
    <row r="1277" spans="3:7" x14ac:dyDescent="0.25">
      <c r="C1277" s="83"/>
      <c r="D1277" s="84"/>
      <c r="E1277" s="84"/>
      <c r="F1277" s="84"/>
      <c r="G1277" s="94"/>
    </row>
    <row r="1278" spans="3:7" x14ac:dyDescent="0.25">
      <c r="C1278" s="83"/>
      <c r="D1278" s="84"/>
      <c r="E1278" s="84"/>
      <c r="F1278" s="84"/>
      <c r="G1278" s="94"/>
    </row>
    <row r="1279" spans="3:7" x14ac:dyDescent="0.25">
      <c r="C1279" s="83"/>
      <c r="D1279" s="84"/>
      <c r="E1279" s="84"/>
      <c r="F1279" s="84"/>
      <c r="G1279" s="94"/>
    </row>
    <row r="1280" spans="3:7" x14ac:dyDescent="0.25">
      <c r="C1280" s="83"/>
      <c r="D1280" s="84"/>
      <c r="E1280" s="84"/>
      <c r="F1280" s="84"/>
      <c r="G1280" s="94"/>
    </row>
    <row r="1281" spans="3:7" x14ac:dyDescent="0.25">
      <c r="C1281" s="83"/>
      <c r="D1281" s="84"/>
      <c r="E1281" s="84"/>
      <c r="F1281" s="84"/>
      <c r="G1281" s="94"/>
    </row>
    <row r="1282" spans="3:7" x14ac:dyDescent="0.25">
      <c r="C1282" s="83"/>
      <c r="D1282" s="84"/>
      <c r="E1282" s="84"/>
      <c r="F1282" s="84"/>
      <c r="G1282" s="94"/>
    </row>
    <row r="1283" spans="3:7" x14ac:dyDescent="0.25">
      <c r="C1283" s="83"/>
      <c r="D1283" s="84"/>
      <c r="E1283" s="84"/>
      <c r="F1283" s="84"/>
      <c r="G1283" s="94"/>
    </row>
    <row r="1284" spans="3:7" x14ac:dyDescent="0.25">
      <c r="C1284" s="83"/>
      <c r="D1284" s="84"/>
      <c r="E1284" s="84"/>
      <c r="F1284" s="84"/>
      <c r="G1284" s="94"/>
    </row>
    <row r="1285" spans="3:7" x14ac:dyDescent="0.25">
      <c r="C1285" s="83"/>
      <c r="D1285" s="84"/>
      <c r="E1285" s="84"/>
      <c r="F1285" s="84"/>
      <c r="G1285" s="94"/>
    </row>
    <row r="1286" spans="3:7" x14ac:dyDescent="0.25">
      <c r="C1286" s="83"/>
      <c r="D1286" s="84"/>
      <c r="E1286" s="84"/>
      <c r="F1286" s="84"/>
      <c r="G1286" s="94"/>
    </row>
    <row r="1287" spans="3:7" x14ac:dyDescent="0.25">
      <c r="C1287" s="83"/>
      <c r="D1287" s="84"/>
      <c r="E1287" s="84"/>
      <c r="F1287" s="84"/>
      <c r="G1287" s="94"/>
    </row>
    <row r="1288" spans="3:7" x14ac:dyDescent="0.25">
      <c r="C1288" s="83"/>
      <c r="D1288" s="84"/>
      <c r="E1288" s="84"/>
      <c r="F1288" s="84"/>
      <c r="G1288" s="94"/>
    </row>
    <row r="1289" spans="3:7" x14ac:dyDescent="0.25">
      <c r="C1289" s="83"/>
      <c r="D1289" s="84"/>
      <c r="E1289" s="84"/>
      <c r="F1289" s="84"/>
      <c r="G1289" s="94"/>
    </row>
    <row r="1290" spans="3:7" x14ac:dyDescent="0.25">
      <c r="C1290" s="83"/>
      <c r="D1290" s="84"/>
      <c r="E1290" s="84"/>
      <c r="F1290" s="84"/>
      <c r="G1290" s="94"/>
    </row>
    <row r="1291" spans="3:7" x14ac:dyDescent="0.25">
      <c r="C1291" s="83"/>
      <c r="D1291" s="84"/>
      <c r="E1291" s="84"/>
      <c r="F1291" s="84"/>
      <c r="G1291" s="94"/>
    </row>
    <row r="1292" spans="3:7" x14ac:dyDescent="0.25">
      <c r="C1292" s="83"/>
      <c r="D1292" s="84"/>
      <c r="E1292" s="84"/>
      <c r="F1292" s="84"/>
      <c r="G1292" s="94"/>
    </row>
    <row r="1293" spans="3:7" x14ac:dyDescent="0.25">
      <c r="C1293" s="83"/>
      <c r="D1293" s="84"/>
      <c r="E1293" s="84"/>
      <c r="F1293" s="84"/>
      <c r="G1293" s="94"/>
    </row>
    <row r="1294" spans="3:7" x14ac:dyDescent="0.25">
      <c r="C1294" s="83"/>
      <c r="D1294" s="84"/>
      <c r="E1294" s="84"/>
      <c r="F1294" s="84"/>
      <c r="G1294" s="94"/>
    </row>
    <row r="1295" spans="3:7" x14ac:dyDescent="0.25">
      <c r="C1295" s="83"/>
      <c r="D1295" s="84"/>
      <c r="E1295" s="84"/>
      <c r="F1295" s="84"/>
      <c r="G1295" s="94"/>
    </row>
    <row r="1296" spans="3:7" x14ac:dyDescent="0.25">
      <c r="C1296" s="83"/>
      <c r="D1296" s="84"/>
      <c r="E1296" s="84"/>
      <c r="F1296" s="84"/>
      <c r="G1296" s="94"/>
    </row>
    <row r="1297" spans="3:7" x14ac:dyDescent="0.25">
      <c r="C1297" s="83"/>
      <c r="D1297" s="84"/>
      <c r="E1297" s="84"/>
      <c r="F1297" s="84"/>
      <c r="G1297" s="94"/>
    </row>
    <row r="1298" spans="3:7" x14ac:dyDescent="0.25">
      <c r="C1298" s="83"/>
      <c r="D1298" s="84"/>
      <c r="E1298" s="84"/>
      <c r="F1298" s="84"/>
      <c r="G1298" s="94"/>
    </row>
    <row r="1299" spans="3:7" x14ac:dyDescent="0.25">
      <c r="C1299" s="83"/>
      <c r="D1299" s="84"/>
      <c r="E1299" s="84"/>
      <c r="F1299" s="84"/>
      <c r="G1299" s="94"/>
    </row>
    <row r="1300" spans="3:7" x14ac:dyDescent="0.25">
      <c r="C1300" s="83"/>
      <c r="D1300" s="84"/>
      <c r="E1300" s="84"/>
      <c r="F1300" s="84"/>
      <c r="G1300" s="94"/>
    </row>
    <row r="1301" spans="3:7" x14ac:dyDescent="0.25">
      <c r="C1301" s="83"/>
      <c r="D1301" s="84"/>
      <c r="E1301" s="84"/>
      <c r="F1301" s="84"/>
      <c r="G1301" s="94"/>
    </row>
    <row r="1302" spans="3:7" x14ac:dyDescent="0.25">
      <c r="C1302" s="83"/>
      <c r="D1302" s="84"/>
      <c r="E1302" s="84"/>
      <c r="F1302" s="84"/>
      <c r="G1302" s="94"/>
    </row>
    <row r="1303" spans="3:7" x14ac:dyDescent="0.25">
      <c r="C1303" s="83"/>
      <c r="D1303" s="84"/>
      <c r="E1303" s="84"/>
      <c r="F1303" s="84"/>
      <c r="G1303" s="94"/>
    </row>
    <row r="1304" spans="3:7" x14ac:dyDescent="0.25">
      <c r="C1304" s="83"/>
      <c r="D1304" s="84"/>
      <c r="E1304" s="84"/>
      <c r="F1304" s="84"/>
      <c r="G1304" s="94"/>
    </row>
    <row r="1305" spans="3:7" x14ac:dyDescent="0.25">
      <c r="C1305" s="83"/>
      <c r="D1305" s="84"/>
      <c r="E1305" s="84"/>
      <c r="F1305" s="84"/>
      <c r="G1305" s="94"/>
    </row>
    <row r="1306" spans="3:7" x14ac:dyDescent="0.25">
      <c r="C1306" s="83"/>
      <c r="D1306" s="84"/>
      <c r="E1306" s="84"/>
      <c r="F1306" s="84"/>
      <c r="G1306" s="94"/>
    </row>
    <row r="1307" spans="3:7" x14ac:dyDescent="0.25">
      <c r="C1307" s="83"/>
      <c r="D1307" s="84"/>
      <c r="E1307" s="84"/>
      <c r="F1307" s="84"/>
      <c r="G1307" s="94"/>
    </row>
    <row r="1308" spans="3:7" x14ac:dyDescent="0.25">
      <c r="C1308" s="83"/>
      <c r="D1308" s="84"/>
      <c r="E1308" s="84"/>
      <c r="F1308" s="84"/>
      <c r="G1308" s="94"/>
    </row>
    <row r="1309" spans="3:7" x14ac:dyDescent="0.25">
      <c r="C1309" s="83"/>
      <c r="D1309" s="84"/>
      <c r="E1309" s="84"/>
      <c r="F1309" s="84"/>
      <c r="G1309" s="94"/>
    </row>
    <row r="1310" spans="3:7" x14ac:dyDescent="0.25">
      <c r="C1310" s="83"/>
      <c r="D1310" s="84"/>
      <c r="E1310" s="84"/>
      <c r="F1310" s="84"/>
      <c r="G1310" s="94"/>
    </row>
    <row r="1311" spans="3:7" x14ac:dyDescent="0.25">
      <c r="C1311" s="83"/>
      <c r="D1311" s="84"/>
      <c r="E1311" s="84"/>
      <c r="F1311" s="84"/>
      <c r="G1311" s="94"/>
    </row>
    <row r="1312" spans="3:7" x14ac:dyDescent="0.25">
      <c r="C1312" s="83"/>
      <c r="D1312" s="84"/>
      <c r="E1312" s="84"/>
      <c r="F1312" s="84"/>
      <c r="G1312" s="94"/>
    </row>
    <row r="1313" spans="3:7" x14ac:dyDescent="0.25">
      <c r="C1313" s="83"/>
      <c r="D1313" s="84"/>
      <c r="E1313" s="84"/>
      <c r="F1313" s="84"/>
      <c r="G1313" s="94"/>
    </row>
    <row r="1314" spans="3:7" x14ac:dyDescent="0.25">
      <c r="C1314" s="83"/>
      <c r="D1314" s="84"/>
      <c r="E1314" s="84"/>
      <c r="F1314" s="84"/>
      <c r="G1314" s="94"/>
    </row>
    <row r="1315" spans="3:7" x14ac:dyDescent="0.25">
      <c r="C1315" s="83"/>
      <c r="D1315" s="84"/>
      <c r="E1315" s="84"/>
      <c r="F1315" s="84"/>
      <c r="G1315" s="94"/>
    </row>
    <row r="1316" spans="3:7" x14ac:dyDescent="0.25">
      <c r="C1316" s="83"/>
      <c r="D1316" s="84"/>
      <c r="E1316" s="84"/>
      <c r="F1316" s="84"/>
      <c r="G1316" s="94"/>
    </row>
    <row r="1317" spans="3:7" x14ac:dyDescent="0.25">
      <c r="C1317" s="83"/>
      <c r="D1317" s="84"/>
      <c r="E1317" s="84"/>
      <c r="F1317" s="84"/>
      <c r="G1317" s="94"/>
    </row>
    <row r="1318" spans="3:7" x14ac:dyDescent="0.25">
      <c r="C1318" s="83"/>
      <c r="D1318" s="84"/>
      <c r="E1318" s="84"/>
      <c r="F1318" s="84"/>
      <c r="G1318" s="94"/>
    </row>
    <row r="1319" spans="3:7" x14ac:dyDescent="0.25">
      <c r="C1319" s="83"/>
      <c r="D1319" s="84"/>
      <c r="E1319" s="84"/>
      <c r="F1319" s="84"/>
      <c r="G1319" s="94"/>
    </row>
    <row r="1320" spans="3:7" x14ac:dyDescent="0.25">
      <c r="C1320" s="83"/>
      <c r="D1320" s="84"/>
      <c r="E1320" s="84"/>
      <c r="F1320" s="84"/>
      <c r="G1320" s="94"/>
    </row>
    <row r="1321" spans="3:7" x14ac:dyDescent="0.25">
      <c r="C1321" s="83"/>
      <c r="D1321" s="84"/>
      <c r="E1321" s="84"/>
      <c r="F1321" s="84"/>
      <c r="G1321" s="94"/>
    </row>
    <row r="1322" spans="3:7" x14ac:dyDescent="0.25">
      <c r="C1322" s="83"/>
      <c r="D1322" s="84"/>
      <c r="E1322" s="84"/>
      <c r="F1322" s="84"/>
      <c r="G1322" s="94"/>
    </row>
    <row r="1323" spans="3:7" x14ac:dyDescent="0.25">
      <c r="C1323" s="83"/>
      <c r="D1323" s="84"/>
      <c r="E1323" s="84"/>
      <c r="F1323" s="84"/>
      <c r="G1323" s="94"/>
    </row>
    <row r="1324" spans="3:7" x14ac:dyDescent="0.25">
      <c r="C1324" s="83"/>
      <c r="D1324" s="84"/>
      <c r="E1324" s="84"/>
      <c r="F1324" s="84"/>
      <c r="G1324" s="94"/>
    </row>
    <row r="1325" spans="3:7" x14ac:dyDescent="0.25">
      <c r="C1325" s="83"/>
      <c r="D1325" s="84"/>
      <c r="E1325" s="84"/>
      <c r="F1325" s="84"/>
      <c r="G1325" s="94"/>
    </row>
    <row r="1326" spans="3:7" x14ac:dyDescent="0.25">
      <c r="C1326" s="83"/>
      <c r="D1326" s="84"/>
      <c r="E1326" s="84"/>
      <c r="F1326" s="84"/>
      <c r="G1326" s="94"/>
    </row>
    <row r="1327" spans="3:7" x14ac:dyDescent="0.25">
      <c r="C1327" s="83"/>
      <c r="D1327" s="84"/>
      <c r="E1327" s="84"/>
      <c r="F1327" s="84"/>
      <c r="G1327" s="94"/>
    </row>
    <row r="1328" spans="3:7" x14ac:dyDescent="0.25">
      <c r="C1328" s="83"/>
      <c r="D1328" s="84"/>
      <c r="E1328" s="84"/>
      <c r="F1328" s="84"/>
      <c r="G1328" s="94"/>
    </row>
    <row r="1329" spans="3:7" x14ac:dyDescent="0.25">
      <c r="C1329" s="83"/>
      <c r="D1329" s="84"/>
      <c r="E1329" s="84"/>
      <c r="F1329" s="84"/>
      <c r="G1329" s="94"/>
    </row>
    <row r="1330" spans="3:7" x14ac:dyDescent="0.25">
      <c r="C1330" s="83"/>
      <c r="D1330" s="84"/>
      <c r="E1330" s="84"/>
      <c r="F1330" s="84"/>
      <c r="G1330" s="94"/>
    </row>
    <row r="1331" spans="3:7" x14ac:dyDescent="0.25">
      <c r="C1331" s="83"/>
      <c r="D1331" s="84"/>
      <c r="E1331" s="84"/>
      <c r="F1331" s="84"/>
      <c r="G1331" s="94"/>
    </row>
    <row r="1332" spans="3:7" x14ac:dyDescent="0.25">
      <c r="C1332" s="83"/>
      <c r="D1332" s="84"/>
      <c r="E1332" s="84"/>
      <c r="F1332" s="84"/>
      <c r="G1332" s="94"/>
    </row>
    <row r="1333" spans="3:7" x14ac:dyDescent="0.25">
      <c r="C1333" s="83"/>
      <c r="D1333" s="84"/>
      <c r="E1333" s="84"/>
      <c r="F1333" s="84"/>
      <c r="G1333" s="94"/>
    </row>
    <row r="1334" spans="3:7" x14ac:dyDescent="0.25">
      <c r="C1334" s="83"/>
      <c r="D1334" s="84"/>
      <c r="E1334" s="84"/>
      <c r="F1334" s="84"/>
      <c r="G1334" s="94"/>
    </row>
    <row r="1335" spans="3:7" x14ac:dyDescent="0.25">
      <c r="C1335" s="83"/>
      <c r="D1335" s="84"/>
      <c r="E1335" s="84"/>
      <c r="F1335" s="84"/>
      <c r="G1335" s="94"/>
    </row>
    <row r="1336" spans="3:7" x14ac:dyDescent="0.25">
      <c r="C1336" s="83"/>
      <c r="D1336" s="84"/>
      <c r="E1336" s="84"/>
      <c r="F1336" s="84"/>
      <c r="G1336" s="94"/>
    </row>
    <row r="1337" spans="3:7" x14ac:dyDescent="0.25">
      <c r="C1337" s="83"/>
      <c r="D1337" s="84"/>
      <c r="E1337" s="84"/>
      <c r="F1337" s="84"/>
      <c r="G1337" s="94"/>
    </row>
    <row r="1338" spans="3:7" x14ac:dyDescent="0.25">
      <c r="C1338" s="83"/>
      <c r="D1338" s="84"/>
      <c r="E1338" s="84"/>
      <c r="F1338" s="84"/>
      <c r="G1338" s="94"/>
    </row>
    <row r="1339" spans="3:7" x14ac:dyDescent="0.25">
      <c r="C1339" s="83"/>
      <c r="D1339" s="84"/>
      <c r="E1339" s="84"/>
      <c r="F1339" s="84"/>
      <c r="G1339" s="94"/>
    </row>
    <row r="1340" spans="3:7" x14ac:dyDescent="0.25">
      <c r="C1340" s="83"/>
      <c r="D1340" s="84"/>
      <c r="E1340" s="84"/>
      <c r="F1340" s="84"/>
      <c r="G1340" s="94"/>
    </row>
    <row r="1341" spans="3:7" x14ac:dyDescent="0.25">
      <c r="C1341" s="83"/>
      <c r="D1341" s="84"/>
      <c r="E1341" s="84"/>
      <c r="F1341" s="84"/>
      <c r="G1341" s="94"/>
    </row>
    <row r="1342" spans="3:7" x14ac:dyDescent="0.25">
      <c r="C1342" s="83"/>
      <c r="D1342" s="84"/>
      <c r="E1342" s="84"/>
      <c r="F1342" s="84"/>
      <c r="G1342" s="94"/>
    </row>
    <row r="1343" spans="3:7" x14ac:dyDescent="0.25">
      <c r="C1343" s="83"/>
      <c r="D1343" s="84"/>
      <c r="E1343" s="84"/>
      <c r="F1343" s="84"/>
      <c r="G1343" s="94"/>
    </row>
    <row r="1344" spans="3:7" x14ac:dyDescent="0.25">
      <c r="C1344" s="83"/>
      <c r="D1344" s="84"/>
      <c r="E1344" s="84"/>
      <c r="F1344" s="84"/>
      <c r="G1344" s="94"/>
    </row>
    <row r="1345" spans="3:7" x14ac:dyDescent="0.25">
      <c r="C1345" s="83"/>
      <c r="D1345" s="84"/>
      <c r="E1345" s="84"/>
      <c r="F1345" s="84"/>
      <c r="G1345" s="94"/>
    </row>
    <row r="1346" spans="3:7" x14ac:dyDescent="0.25">
      <c r="C1346" s="83"/>
      <c r="D1346" s="84"/>
      <c r="E1346" s="84"/>
      <c r="F1346" s="84"/>
      <c r="G1346" s="94"/>
    </row>
    <row r="1347" spans="3:7" x14ac:dyDescent="0.25">
      <c r="C1347" s="83"/>
      <c r="D1347" s="84"/>
      <c r="E1347" s="84"/>
      <c r="F1347" s="84"/>
      <c r="G1347" s="94"/>
    </row>
    <row r="1348" spans="3:7" x14ac:dyDescent="0.25">
      <c r="C1348" s="83"/>
      <c r="D1348" s="84"/>
      <c r="E1348" s="84"/>
      <c r="F1348" s="84"/>
      <c r="G1348" s="94"/>
    </row>
    <row r="1349" spans="3:7" x14ac:dyDescent="0.25">
      <c r="C1349" s="83"/>
      <c r="D1349" s="84"/>
      <c r="E1349" s="84"/>
      <c r="F1349" s="84"/>
      <c r="G1349" s="94"/>
    </row>
    <row r="1350" spans="3:7" x14ac:dyDescent="0.25">
      <c r="C1350" s="83"/>
      <c r="D1350" s="84"/>
      <c r="E1350" s="84"/>
      <c r="F1350" s="84"/>
      <c r="G1350" s="94"/>
    </row>
    <row r="1351" spans="3:7" x14ac:dyDescent="0.25">
      <c r="C1351" s="83"/>
      <c r="D1351" s="84"/>
      <c r="E1351" s="84"/>
      <c r="F1351" s="84"/>
      <c r="G1351" s="94"/>
    </row>
    <row r="1352" spans="3:7" x14ac:dyDescent="0.25">
      <c r="C1352" s="83"/>
      <c r="D1352" s="84"/>
      <c r="E1352" s="84"/>
      <c r="F1352" s="84"/>
      <c r="G1352" s="94"/>
    </row>
    <row r="1353" spans="3:7" x14ac:dyDescent="0.25">
      <c r="C1353" s="83"/>
      <c r="D1353" s="84"/>
      <c r="E1353" s="84"/>
      <c r="F1353" s="84"/>
      <c r="G1353" s="94"/>
    </row>
    <row r="1354" spans="3:7" x14ac:dyDescent="0.25">
      <c r="C1354" s="83"/>
      <c r="D1354" s="84"/>
      <c r="E1354" s="84"/>
      <c r="F1354" s="84"/>
      <c r="G1354" s="94"/>
    </row>
    <row r="1355" spans="3:7" x14ac:dyDescent="0.25">
      <c r="C1355" s="83"/>
      <c r="D1355" s="84"/>
      <c r="E1355" s="84"/>
      <c r="F1355" s="84"/>
      <c r="G1355" s="94"/>
    </row>
    <row r="1356" spans="3:7" x14ac:dyDescent="0.25">
      <c r="C1356" s="83"/>
      <c r="D1356" s="84"/>
      <c r="E1356" s="84"/>
      <c r="F1356" s="84"/>
      <c r="G1356" s="94"/>
    </row>
    <row r="1357" spans="3:7" x14ac:dyDescent="0.25">
      <c r="C1357" s="83"/>
      <c r="D1357" s="84"/>
      <c r="E1357" s="84"/>
      <c r="F1357" s="84"/>
      <c r="G1357" s="94"/>
    </row>
    <row r="1358" spans="3:7" x14ac:dyDescent="0.25">
      <c r="C1358" s="83"/>
      <c r="D1358" s="84"/>
      <c r="E1358" s="84"/>
      <c r="F1358" s="84"/>
      <c r="G1358" s="94"/>
    </row>
    <row r="1359" spans="3:7" x14ac:dyDescent="0.25">
      <c r="C1359" s="83"/>
      <c r="D1359" s="84"/>
      <c r="E1359" s="84"/>
      <c r="F1359" s="84"/>
      <c r="G1359" s="94"/>
    </row>
    <row r="1360" spans="3:7" x14ac:dyDescent="0.25">
      <c r="C1360" s="83"/>
      <c r="D1360" s="84"/>
      <c r="E1360" s="84"/>
      <c r="F1360" s="84"/>
      <c r="G1360" s="94"/>
    </row>
    <row r="1361" spans="3:7" x14ac:dyDescent="0.25">
      <c r="C1361" s="83"/>
      <c r="D1361" s="84"/>
      <c r="E1361" s="84"/>
      <c r="F1361" s="84"/>
      <c r="G1361" s="94"/>
    </row>
    <row r="1362" spans="3:7" x14ac:dyDescent="0.25">
      <c r="C1362" s="83"/>
      <c r="D1362" s="84"/>
      <c r="E1362" s="84"/>
      <c r="F1362" s="84"/>
      <c r="G1362" s="94"/>
    </row>
    <row r="1363" spans="3:7" x14ac:dyDescent="0.25">
      <c r="C1363" s="83"/>
      <c r="D1363" s="84"/>
      <c r="E1363" s="84"/>
      <c r="F1363" s="84"/>
      <c r="G1363" s="94"/>
    </row>
    <row r="1364" spans="3:7" x14ac:dyDescent="0.25">
      <c r="C1364" s="83"/>
      <c r="D1364" s="84"/>
      <c r="E1364" s="84"/>
      <c r="F1364" s="84"/>
      <c r="G1364" s="94"/>
    </row>
    <row r="1365" spans="3:7" x14ac:dyDescent="0.25">
      <c r="C1365" s="83"/>
      <c r="D1365" s="84"/>
      <c r="E1365" s="84"/>
      <c r="F1365" s="84"/>
      <c r="G1365" s="94"/>
    </row>
    <row r="1366" spans="3:7" x14ac:dyDescent="0.25">
      <c r="C1366" s="83"/>
      <c r="D1366" s="84"/>
      <c r="E1366" s="84"/>
      <c r="F1366" s="84"/>
      <c r="G1366" s="94"/>
    </row>
    <row r="1367" spans="3:7" x14ac:dyDescent="0.25">
      <c r="C1367" s="83"/>
      <c r="D1367" s="84"/>
      <c r="E1367" s="84"/>
      <c r="F1367" s="84"/>
      <c r="G1367" s="94"/>
    </row>
    <row r="1368" spans="3:7" x14ac:dyDescent="0.25">
      <c r="C1368" s="83"/>
      <c r="D1368" s="84"/>
      <c r="E1368" s="84"/>
      <c r="F1368" s="84"/>
      <c r="G1368" s="94"/>
    </row>
    <row r="1369" spans="3:7" x14ac:dyDescent="0.25">
      <c r="C1369" s="83"/>
      <c r="D1369" s="84"/>
      <c r="E1369" s="84"/>
      <c r="F1369" s="84"/>
      <c r="G1369" s="94"/>
    </row>
    <row r="1370" spans="3:7" x14ac:dyDescent="0.25">
      <c r="C1370" s="83"/>
      <c r="D1370" s="84"/>
      <c r="E1370" s="84"/>
      <c r="F1370" s="84"/>
      <c r="G1370" s="94"/>
    </row>
    <row r="1371" spans="3:7" x14ac:dyDescent="0.25">
      <c r="C1371" s="83"/>
      <c r="D1371" s="84"/>
      <c r="E1371" s="84"/>
      <c r="F1371" s="84"/>
      <c r="G1371" s="94"/>
    </row>
    <row r="1372" spans="3:7" x14ac:dyDescent="0.25">
      <c r="C1372" s="83"/>
      <c r="D1372" s="84"/>
      <c r="E1372" s="84"/>
      <c r="F1372" s="84"/>
      <c r="G1372" s="94"/>
    </row>
    <row r="1373" spans="3:7" x14ac:dyDescent="0.25">
      <c r="C1373" s="83"/>
      <c r="D1373" s="84"/>
      <c r="E1373" s="84"/>
      <c r="F1373" s="84"/>
      <c r="G1373" s="94"/>
    </row>
    <row r="1374" spans="3:7" x14ac:dyDescent="0.25">
      <c r="C1374" s="83"/>
      <c r="D1374" s="84"/>
      <c r="E1374" s="84"/>
      <c r="F1374" s="84"/>
      <c r="G1374" s="94"/>
    </row>
    <row r="1375" spans="3:7" x14ac:dyDescent="0.25">
      <c r="C1375" s="83"/>
      <c r="D1375" s="84"/>
      <c r="E1375" s="84"/>
      <c r="F1375" s="84"/>
      <c r="G1375" s="94"/>
    </row>
    <row r="1376" spans="3:7" x14ac:dyDescent="0.25">
      <c r="C1376" s="83"/>
      <c r="D1376" s="84"/>
      <c r="E1376" s="84"/>
      <c r="F1376" s="84"/>
      <c r="G1376" s="94"/>
    </row>
    <row r="1377" spans="3:7" x14ac:dyDescent="0.25">
      <c r="C1377" s="83"/>
      <c r="D1377" s="84"/>
      <c r="E1377" s="84"/>
      <c r="F1377" s="84"/>
      <c r="G1377" s="94"/>
    </row>
    <row r="1378" spans="3:7" x14ac:dyDescent="0.25">
      <c r="C1378" s="83"/>
      <c r="D1378" s="84"/>
      <c r="E1378" s="84"/>
      <c r="F1378" s="84"/>
      <c r="G1378" s="94"/>
    </row>
    <row r="1379" spans="3:7" x14ac:dyDescent="0.25">
      <c r="C1379" s="83"/>
      <c r="D1379" s="84"/>
      <c r="E1379" s="84"/>
      <c r="F1379" s="84"/>
      <c r="G1379" s="94"/>
    </row>
    <row r="1380" spans="3:7" x14ac:dyDescent="0.25">
      <c r="C1380" s="83"/>
      <c r="D1380" s="84"/>
      <c r="E1380" s="84"/>
      <c r="F1380" s="84"/>
      <c r="G1380" s="94"/>
    </row>
    <row r="1381" spans="3:7" x14ac:dyDescent="0.25">
      <c r="C1381" s="83"/>
      <c r="D1381" s="84"/>
      <c r="E1381" s="84"/>
      <c r="F1381" s="84"/>
      <c r="G1381" s="94"/>
    </row>
    <row r="1382" spans="3:7" x14ac:dyDescent="0.25">
      <c r="C1382" s="83"/>
      <c r="D1382" s="84"/>
      <c r="E1382" s="84"/>
      <c r="F1382" s="84"/>
      <c r="G1382" s="94"/>
    </row>
    <row r="1383" spans="3:7" x14ac:dyDescent="0.25">
      <c r="C1383" s="83"/>
      <c r="D1383" s="84"/>
      <c r="E1383" s="84"/>
      <c r="F1383" s="84"/>
      <c r="G1383" s="94"/>
    </row>
    <row r="1384" spans="3:7" x14ac:dyDescent="0.25">
      <c r="C1384" s="83"/>
      <c r="D1384" s="84"/>
      <c r="E1384" s="84"/>
      <c r="F1384" s="84"/>
      <c r="G1384" s="94"/>
    </row>
    <row r="1385" spans="3:7" x14ac:dyDescent="0.25">
      <c r="C1385" s="83"/>
      <c r="D1385" s="84"/>
      <c r="E1385" s="84"/>
      <c r="F1385" s="84"/>
      <c r="G1385" s="94"/>
    </row>
    <row r="1386" spans="3:7" x14ac:dyDescent="0.25">
      <c r="C1386" s="83"/>
      <c r="D1386" s="84"/>
      <c r="E1386" s="84"/>
      <c r="F1386" s="84"/>
      <c r="G1386" s="94"/>
    </row>
    <row r="1387" spans="3:7" x14ac:dyDescent="0.25">
      <c r="C1387" s="83"/>
      <c r="D1387" s="84"/>
      <c r="E1387" s="84"/>
      <c r="F1387" s="84"/>
      <c r="G1387" s="94"/>
    </row>
    <row r="1388" spans="3:7" x14ac:dyDescent="0.25">
      <c r="C1388" s="83"/>
      <c r="D1388" s="84"/>
      <c r="E1388" s="84"/>
      <c r="F1388" s="84"/>
      <c r="G1388" s="94"/>
    </row>
    <row r="1389" spans="3:7" x14ac:dyDescent="0.25">
      <c r="C1389" s="83"/>
      <c r="D1389" s="84"/>
      <c r="E1389" s="84"/>
      <c r="F1389" s="84"/>
      <c r="G1389" s="94"/>
    </row>
    <row r="1390" spans="3:7" x14ac:dyDescent="0.25">
      <c r="C1390" s="83"/>
      <c r="D1390" s="84"/>
      <c r="E1390" s="84"/>
      <c r="F1390" s="84"/>
      <c r="G1390" s="94"/>
    </row>
    <row r="1391" spans="3:7" x14ac:dyDescent="0.25">
      <c r="C1391" s="83"/>
      <c r="D1391" s="84"/>
      <c r="E1391" s="84"/>
      <c r="F1391" s="84"/>
      <c r="G1391" s="94"/>
    </row>
    <row r="1392" spans="3:7" x14ac:dyDescent="0.25">
      <c r="C1392" s="83"/>
      <c r="D1392" s="84"/>
      <c r="E1392" s="84"/>
      <c r="F1392" s="84"/>
      <c r="G1392" s="94"/>
    </row>
    <row r="1393" spans="3:7" x14ac:dyDescent="0.25">
      <c r="C1393" s="83"/>
      <c r="D1393" s="84"/>
      <c r="E1393" s="84"/>
      <c r="F1393" s="84"/>
      <c r="G1393" s="94"/>
    </row>
    <row r="1394" spans="3:7" x14ac:dyDescent="0.25">
      <c r="C1394" s="83"/>
      <c r="D1394" s="84"/>
      <c r="E1394" s="84"/>
      <c r="F1394" s="84"/>
      <c r="G1394" s="94"/>
    </row>
    <row r="1395" spans="3:7" x14ac:dyDescent="0.25">
      <c r="C1395" s="83"/>
      <c r="D1395" s="84"/>
      <c r="E1395" s="84"/>
      <c r="F1395" s="84"/>
      <c r="G1395" s="94"/>
    </row>
    <row r="1396" spans="3:7" x14ac:dyDescent="0.25">
      <c r="C1396" s="83"/>
      <c r="D1396" s="84"/>
      <c r="E1396" s="84"/>
      <c r="F1396" s="84"/>
      <c r="G1396" s="94"/>
    </row>
    <row r="1397" spans="3:7" x14ac:dyDescent="0.25">
      <c r="C1397" s="83"/>
      <c r="D1397" s="84"/>
      <c r="E1397" s="84"/>
      <c r="F1397" s="84"/>
      <c r="G1397" s="94"/>
    </row>
    <row r="1398" spans="3:7" x14ac:dyDescent="0.25">
      <c r="C1398" s="83"/>
      <c r="D1398" s="84"/>
      <c r="E1398" s="84"/>
      <c r="F1398" s="84"/>
      <c r="G1398" s="94"/>
    </row>
    <row r="1399" spans="3:7" x14ac:dyDescent="0.25">
      <c r="C1399" s="83"/>
      <c r="D1399" s="84"/>
      <c r="E1399" s="84"/>
      <c r="F1399" s="84"/>
      <c r="G1399" s="94"/>
    </row>
    <row r="1400" spans="3:7" x14ac:dyDescent="0.25">
      <c r="C1400" s="83"/>
      <c r="D1400" s="84"/>
      <c r="E1400" s="84"/>
      <c r="F1400" s="84"/>
      <c r="G1400" s="94"/>
    </row>
    <row r="1401" spans="3:7" x14ac:dyDescent="0.25">
      <c r="C1401" s="83"/>
      <c r="D1401" s="84"/>
      <c r="E1401" s="84"/>
      <c r="F1401" s="84"/>
      <c r="G1401" s="94"/>
    </row>
    <row r="1402" spans="3:7" x14ac:dyDescent="0.25">
      <c r="C1402" s="83"/>
      <c r="D1402" s="84"/>
      <c r="E1402" s="84"/>
      <c r="F1402" s="84"/>
      <c r="G1402" s="94"/>
    </row>
    <row r="1403" spans="3:7" x14ac:dyDescent="0.25">
      <c r="C1403" s="83"/>
      <c r="D1403" s="84"/>
      <c r="E1403" s="84"/>
      <c r="F1403" s="84"/>
      <c r="G1403" s="94"/>
    </row>
    <row r="1404" spans="3:7" x14ac:dyDescent="0.25">
      <c r="C1404" s="83"/>
      <c r="D1404" s="84"/>
      <c r="E1404" s="84"/>
      <c r="F1404" s="84"/>
      <c r="G1404" s="94"/>
    </row>
    <row r="1405" spans="3:7" x14ac:dyDescent="0.25">
      <c r="C1405" s="83"/>
      <c r="D1405" s="84"/>
      <c r="E1405" s="84"/>
      <c r="F1405" s="84"/>
      <c r="G1405" s="94"/>
    </row>
    <row r="1406" spans="3:7" x14ac:dyDescent="0.25">
      <c r="C1406" s="83"/>
      <c r="D1406" s="84"/>
      <c r="E1406" s="84"/>
      <c r="F1406" s="84"/>
      <c r="G1406" s="94"/>
    </row>
    <row r="1407" spans="3:7" x14ac:dyDescent="0.25">
      <c r="C1407" s="83"/>
      <c r="D1407" s="84"/>
      <c r="E1407" s="84"/>
      <c r="F1407" s="84"/>
      <c r="G1407" s="94"/>
    </row>
    <row r="1408" spans="3:7" x14ac:dyDescent="0.25">
      <c r="C1408" s="83"/>
      <c r="D1408" s="84"/>
      <c r="E1408" s="84"/>
      <c r="F1408" s="84"/>
      <c r="G1408" s="94"/>
    </row>
    <row r="1409" spans="3:7" x14ac:dyDescent="0.25">
      <c r="C1409" s="83"/>
      <c r="D1409" s="84"/>
      <c r="E1409" s="84"/>
      <c r="F1409" s="84"/>
      <c r="G1409" s="94"/>
    </row>
    <row r="1410" spans="3:7" x14ac:dyDescent="0.25">
      <c r="C1410" s="83"/>
      <c r="D1410" s="84"/>
      <c r="E1410" s="84"/>
      <c r="F1410" s="84"/>
      <c r="G1410" s="94"/>
    </row>
    <row r="1411" spans="3:7" x14ac:dyDescent="0.25">
      <c r="C1411" s="83"/>
      <c r="D1411" s="84"/>
      <c r="E1411" s="84"/>
      <c r="F1411" s="84"/>
      <c r="G1411" s="94"/>
    </row>
    <row r="1412" spans="3:7" x14ac:dyDescent="0.25">
      <c r="C1412" s="83"/>
      <c r="D1412" s="84"/>
      <c r="E1412" s="84"/>
      <c r="F1412" s="84"/>
      <c r="G1412" s="94"/>
    </row>
    <row r="1413" spans="3:7" x14ac:dyDescent="0.25">
      <c r="C1413" s="83"/>
      <c r="D1413" s="84"/>
      <c r="E1413" s="84"/>
      <c r="F1413" s="84"/>
      <c r="G1413" s="94"/>
    </row>
    <row r="1414" spans="3:7" x14ac:dyDescent="0.25">
      <c r="C1414" s="83"/>
      <c r="D1414" s="84"/>
      <c r="E1414" s="84"/>
      <c r="F1414" s="84"/>
      <c r="G1414" s="94"/>
    </row>
    <row r="1415" spans="3:7" x14ac:dyDescent="0.25">
      <c r="C1415" s="83"/>
      <c r="D1415" s="84"/>
      <c r="E1415" s="84"/>
      <c r="F1415" s="84"/>
      <c r="G1415" s="94"/>
    </row>
    <row r="1416" spans="3:7" x14ac:dyDescent="0.25">
      <c r="C1416" s="83"/>
      <c r="D1416" s="84"/>
      <c r="E1416" s="84"/>
      <c r="F1416" s="84"/>
      <c r="G1416" s="94"/>
    </row>
    <row r="1417" spans="3:7" x14ac:dyDescent="0.25">
      <c r="C1417" s="83"/>
      <c r="D1417" s="84"/>
      <c r="E1417" s="84"/>
      <c r="F1417" s="84"/>
      <c r="G1417" s="94"/>
    </row>
    <row r="1418" spans="3:7" x14ac:dyDescent="0.25">
      <c r="C1418" s="83"/>
      <c r="D1418" s="84"/>
      <c r="E1418" s="84"/>
      <c r="F1418" s="84"/>
      <c r="G1418" s="94"/>
    </row>
    <row r="1419" spans="3:7" x14ac:dyDescent="0.25">
      <c r="C1419" s="83"/>
      <c r="D1419" s="84"/>
      <c r="E1419" s="84"/>
      <c r="F1419" s="84"/>
      <c r="G1419" s="94"/>
    </row>
    <row r="1420" spans="3:7" x14ac:dyDescent="0.25">
      <c r="C1420" s="83"/>
      <c r="D1420" s="84"/>
      <c r="E1420" s="84"/>
      <c r="F1420" s="84"/>
      <c r="G1420" s="94"/>
    </row>
    <row r="1421" spans="3:7" x14ac:dyDescent="0.25">
      <c r="C1421" s="83"/>
      <c r="D1421" s="84"/>
      <c r="E1421" s="84"/>
      <c r="F1421" s="84"/>
      <c r="G1421" s="94"/>
    </row>
    <row r="1422" spans="3:7" x14ac:dyDescent="0.25">
      <c r="C1422" s="83"/>
      <c r="D1422" s="84"/>
      <c r="E1422" s="84"/>
      <c r="F1422" s="84"/>
      <c r="G1422" s="94"/>
    </row>
    <row r="1423" spans="3:7" x14ac:dyDescent="0.25">
      <c r="C1423" s="83"/>
      <c r="D1423" s="84"/>
      <c r="E1423" s="84"/>
      <c r="F1423" s="84"/>
      <c r="G1423" s="94"/>
    </row>
    <row r="1424" spans="3:7" x14ac:dyDescent="0.25">
      <c r="C1424" s="83"/>
      <c r="D1424" s="84"/>
      <c r="E1424" s="84"/>
      <c r="F1424" s="84"/>
      <c r="G1424" s="94"/>
    </row>
    <row r="1425" spans="3:7" x14ac:dyDescent="0.25">
      <c r="C1425" s="83"/>
      <c r="D1425" s="84"/>
      <c r="E1425" s="84"/>
      <c r="F1425" s="84"/>
      <c r="G1425" s="94"/>
    </row>
    <row r="1426" spans="3:7" x14ac:dyDescent="0.25">
      <c r="C1426" s="83"/>
      <c r="D1426" s="84"/>
      <c r="E1426" s="84"/>
      <c r="F1426" s="84"/>
      <c r="G1426" s="94"/>
    </row>
    <row r="1427" spans="3:7" x14ac:dyDescent="0.25">
      <c r="C1427" s="83"/>
      <c r="D1427" s="84"/>
      <c r="E1427" s="84"/>
      <c r="F1427" s="84"/>
      <c r="G1427" s="94"/>
    </row>
    <row r="1428" spans="3:7" x14ac:dyDescent="0.25">
      <c r="C1428" s="83"/>
      <c r="D1428" s="84"/>
      <c r="E1428" s="84"/>
      <c r="F1428" s="84"/>
      <c r="G1428" s="94"/>
    </row>
    <row r="1429" spans="3:7" x14ac:dyDescent="0.25">
      <c r="C1429" s="83"/>
      <c r="D1429" s="84"/>
      <c r="E1429" s="84"/>
      <c r="F1429" s="84"/>
      <c r="G1429" s="94"/>
    </row>
    <row r="1430" spans="3:7" x14ac:dyDescent="0.25">
      <c r="C1430" s="83"/>
      <c r="D1430" s="84"/>
      <c r="E1430" s="84"/>
      <c r="F1430" s="84"/>
      <c r="G1430" s="94"/>
    </row>
    <row r="1431" spans="3:7" x14ac:dyDescent="0.25">
      <c r="C1431" s="83"/>
      <c r="D1431" s="84"/>
      <c r="E1431" s="84"/>
      <c r="F1431" s="84"/>
      <c r="G1431" s="94"/>
    </row>
    <row r="1432" spans="3:7" x14ac:dyDescent="0.25">
      <c r="C1432" s="83"/>
      <c r="D1432" s="84"/>
      <c r="E1432" s="84"/>
      <c r="F1432" s="84"/>
      <c r="G1432" s="94"/>
    </row>
    <row r="1433" spans="3:7" x14ac:dyDescent="0.25">
      <c r="C1433" s="83"/>
      <c r="D1433" s="84"/>
      <c r="E1433" s="84"/>
      <c r="F1433" s="84"/>
      <c r="G1433" s="94"/>
    </row>
    <row r="1434" spans="3:7" x14ac:dyDescent="0.25">
      <c r="C1434" s="83"/>
      <c r="D1434" s="84"/>
      <c r="E1434" s="84"/>
      <c r="F1434" s="84"/>
      <c r="G1434" s="94"/>
    </row>
    <row r="1435" spans="3:7" x14ac:dyDescent="0.25">
      <c r="C1435" s="83"/>
      <c r="D1435" s="84"/>
      <c r="E1435" s="84"/>
      <c r="F1435" s="84"/>
      <c r="G1435" s="94"/>
    </row>
    <row r="1436" spans="3:7" x14ac:dyDescent="0.25">
      <c r="C1436" s="83"/>
      <c r="D1436" s="84"/>
      <c r="E1436" s="84"/>
      <c r="F1436" s="84"/>
      <c r="G1436" s="94"/>
    </row>
    <row r="1437" spans="3:7" x14ac:dyDescent="0.25">
      <c r="C1437" s="83"/>
      <c r="D1437" s="84"/>
      <c r="E1437" s="84"/>
      <c r="F1437" s="84"/>
      <c r="G1437" s="94"/>
    </row>
    <row r="1438" spans="3:7" x14ac:dyDescent="0.25">
      <c r="C1438" s="83"/>
      <c r="D1438" s="84"/>
      <c r="E1438" s="84"/>
      <c r="F1438" s="84"/>
      <c r="G1438" s="94"/>
    </row>
    <row r="1439" spans="3:7" x14ac:dyDescent="0.25">
      <c r="C1439" s="83"/>
      <c r="D1439" s="84"/>
      <c r="E1439" s="84"/>
      <c r="F1439" s="84"/>
      <c r="G1439" s="94"/>
    </row>
    <row r="1440" spans="3:7" x14ac:dyDescent="0.25">
      <c r="C1440" s="83"/>
      <c r="D1440" s="84"/>
      <c r="E1440" s="84"/>
      <c r="F1440" s="84"/>
      <c r="G1440" s="94"/>
    </row>
    <row r="1441" spans="3:7" x14ac:dyDescent="0.25">
      <c r="C1441" s="83"/>
      <c r="D1441" s="84"/>
      <c r="E1441" s="84"/>
      <c r="F1441" s="84"/>
      <c r="G1441" s="94"/>
    </row>
    <row r="1442" spans="3:7" x14ac:dyDescent="0.25">
      <c r="C1442" s="83"/>
      <c r="D1442" s="84"/>
      <c r="E1442" s="84"/>
      <c r="F1442" s="84"/>
      <c r="G1442" s="94"/>
    </row>
    <row r="1443" spans="3:7" x14ac:dyDescent="0.25">
      <c r="C1443" s="83"/>
      <c r="D1443" s="84"/>
      <c r="E1443" s="84"/>
      <c r="F1443" s="84"/>
      <c r="G1443" s="94"/>
    </row>
    <row r="1444" spans="3:7" x14ac:dyDescent="0.25">
      <c r="C1444" s="83"/>
      <c r="D1444" s="84"/>
      <c r="E1444" s="84"/>
      <c r="F1444" s="84"/>
      <c r="G1444" s="94"/>
    </row>
    <row r="1445" spans="3:7" x14ac:dyDescent="0.25">
      <c r="C1445" s="83"/>
      <c r="D1445" s="84"/>
      <c r="E1445" s="84"/>
      <c r="F1445" s="84"/>
      <c r="G1445" s="94"/>
    </row>
    <row r="1446" spans="3:7" x14ac:dyDescent="0.25">
      <c r="C1446" s="83"/>
      <c r="D1446" s="84"/>
      <c r="E1446" s="84"/>
      <c r="F1446" s="84"/>
      <c r="G1446" s="94"/>
    </row>
    <row r="1447" spans="3:7" x14ac:dyDescent="0.25">
      <c r="C1447" s="83"/>
      <c r="D1447" s="84"/>
      <c r="E1447" s="84"/>
      <c r="F1447" s="84"/>
      <c r="G1447" s="94"/>
    </row>
    <row r="1448" spans="3:7" x14ac:dyDescent="0.25">
      <c r="C1448" s="83"/>
      <c r="D1448" s="84"/>
      <c r="E1448" s="84"/>
      <c r="F1448" s="84"/>
      <c r="G1448" s="94"/>
    </row>
    <row r="1449" spans="3:7" x14ac:dyDescent="0.25">
      <c r="C1449" s="83"/>
      <c r="D1449" s="84"/>
      <c r="E1449" s="84"/>
      <c r="F1449" s="84"/>
      <c r="G1449" s="94"/>
    </row>
    <row r="1450" spans="3:7" x14ac:dyDescent="0.25">
      <c r="C1450" s="83"/>
      <c r="D1450" s="84"/>
      <c r="E1450" s="84"/>
      <c r="F1450" s="84"/>
      <c r="G1450" s="94"/>
    </row>
    <row r="1451" spans="3:7" x14ac:dyDescent="0.25">
      <c r="C1451" s="83"/>
      <c r="D1451" s="84"/>
      <c r="E1451" s="84"/>
      <c r="F1451" s="84"/>
      <c r="G1451" s="94"/>
    </row>
    <row r="1452" spans="3:7" x14ac:dyDescent="0.25">
      <c r="C1452" s="83"/>
      <c r="D1452" s="84"/>
      <c r="E1452" s="84"/>
      <c r="F1452" s="84"/>
      <c r="G1452" s="94"/>
    </row>
    <row r="1453" spans="3:7" x14ac:dyDescent="0.25">
      <c r="C1453" s="83"/>
      <c r="D1453" s="84"/>
      <c r="E1453" s="84"/>
      <c r="F1453" s="84"/>
      <c r="G1453" s="94"/>
    </row>
    <row r="1454" spans="3:7" x14ac:dyDescent="0.25">
      <c r="C1454" s="83"/>
      <c r="D1454" s="84"/>
      <c r="E1454" s="84"/>
      <c r="F1454" s="84"/>
      <c r="G1454" s="94"/>
    </row>
    <row r="1455" spans="3:7" x14ac:dyDescent="0.25">
      <c r="C1455" s="83"/>
      <c r="D1455" s="84"/>
      <c r="E1455" s="84"/>
      <c r="F1455" s="84"/>
      <c r="G1455" s="94"/>
    </row>
    <row r="1456" spans="3:7" x14ac:dyDescent="0.25">
      <c r="C1456" s="83"/>
      <c r="D1456" s="84"/>
      <c r="E1456" s="84"/>
      <c r="F1456" s="84"/>
      <c r="G1456" s="94"/>
    </row>
    <row r="1457" spans="3:7" x14ac:dyDescent="0.25">
      <c r="C1457" s="83"/>
      <c r="D1457" s="84"/>
      <c r="E1457" s="84"/>
      <c r="F1457" s="84"/>
      <c r="G1457" s="94"/>
    </row>
    <row r="1458" spans="3:7" x14ac:dyDescent="0.25">
      <c r="C1458" s="83"/>
      <c r="D1458" s="84"/>
      <c r="E1458" s="84"/>
      <c r="F1458" s="84"/>
      <c r="G1458" s="94"/>
    </row>
    <row r="1459" spans="3:7" x14ac:dyDescent="0.25">
      <c r="C1459" s="83"/>
      <c r="D1459" s="84"/>
      <c r="E1459" s="84"/>
      <c r="F1459" s="84"/>
      <c r="G1459" s="94"/>
    </row>
    <row r="1460" spans="3:7" x14ac:dyDescent="0.25">
      <c r="C1460" s="83"/>
      <c r="D1460" s="84"/>
      <c r="E1460" s="84"/>
      <c r="F1460" s="84"/>
      <c r="G1460" s="94"/>
    </row>
    <row r="1461" spans="3:7" x14ac:dyDescent="0.25">
      <c r="C1461" s="83"/>
      <c r="D1461" s="84"/>
      <c r="E1461" s="84"/>
      <c r="F1461" s="84"/>
      <c r="G1461" s="94"/>
    </row>
    <row r="1462" spans="3:7" x14ac:dyDescent="0.25">
      <c r="C1462" s="83"/>
      <c r="D1462" s="84"/>
      <c r="E1462" s="84"/>
      <c r="F1462" s="84"/>
      <c r="G1462" s="94"/>
    </row>
    <row r="1463" spans="3:7" x14ac:dyDescent="0.25">
      <c r="C1463" s="83"/>
      <c r="D1463" s="84"/>
      <c r="E1463" s="84"/>
      <c r="F1463" s="84"/>
      <c r="G1463" s="94"/>
    </row>
    <row r="1464" spans="3:7" x14ac:dyDescent="0.25">
      <c r="C1464" s="83"/>
      <c r="D1464" s="84"/>
      <c r="E1464" s="84"/>
      <c r="F1464" s="84"/>
      <c r="G1464" s="94"/>
    </row>
    <row r="1465" spans="3:7" x14ac:dyDescent="0.25">
      <c r="C1465" s="83"/>
      <c r="D1465" s="84"/>
      <c r="E1465" s="84"/>
      <c r="F1465" s="84"/>
      <c r="G1465" s="94"/>
    </row>
    <row r="1466" spans="3:7" x14ac:dyDescent="0.25">
      <c r="C1466" s="83"/>
      <c r="D1466" s="84"/>
      <c r="E1466" s="84"/>
      <c r="F1466" s="84"/>
      <c r="G1466" s="94"/>
    </row>
    <row r="1467" spans="3:7" x14ac:dyDescent="0.25">
      <c r="C1467" s="83"/>
      <c r="D1467" s="84"/>
      <c r="E1467" s="84"/>
      <c r="F1467" s="84"/>
      <c r="G1467" s="94"/>
    </row>
    <row r="1468" spans="3:7" x14ac:dyDescent="0.25">
      <c r="C1468" s="83"/>
      <c r="D1468" s="84"/>
      <c r="E1468" s="84"/>
      <c r="F1468" s="84"/>
      <c r="G1468" s="94"/>
    </row>
    <row r="1469" spans="3:7" x14ac:dyDescent="0.25">
      <c r="C1469" s="83"/>
      <c r="D1469" s="84"/>
      <c r="E1469" s="84"/>
      <c r="F1469" s="84"/>
      <c r="G1469" s="94"/>
    </row>
    <row r="1470" spans="3:7" x14ac:dyDescent="0.25">
      <c r="C1470" s="83"/>
      <c r="D1470" s="84"/>
      <c r="E1470" s="84"/>
      <c r="F1470" s="84"/>
      <c r="G1470" s="94"/>
    </row>
    <row r="1471" spans="3:7" x14ac:dyDescent="0.25">
      <c r="C1471" s="83"/>
      <c r="D1471" s="84"/>
      <c r="E1471" s="84"/>
      <c r="F1471" s="84"/>
      <c r="G1471" s="94"/>
    </row>
    <row r="1472" spans="3:7" x14ac:dyDescent="0.25">
      <c r="C1472" s="83"/>
      <c r="D1472" s="84"/>
      <c r="E1472" s="84"/>
      <c r="F1472" s="84"/>
      <c r="G1472" s="94"/>
    </row>
    <row r="1473" spans="3:7" x14ac:dyDescent="0.25">
      <c r="C1473" s="83"/>
      <c r="D1473" s="84"/>
      <c r="E1473" s="84"/>
      <c r="F1473" s="84"/>
      <c r="G1473" s="94"/>
    </row>
    <row r="1474" spans="3:7" x14ac:dyDescent="0.25">
      <c r="C1474" s="83"/>
      <c r="D1474" s="84"/>
      <c r="E1474" s="84"/>
      <c r="F1474" s="84"/>
      <c r="G1474" s="94"/>
    </row>
    <row r="1475" spans="3:7" x14ac:dyDescent="0.25">
      <c r="C1475" s="83"/>
      <c r="D1475" s="84"/>
      <c r="E1475" s="84"/>
      <c r="F1475" s="84"/>
      <c r="G1475" s="94"/>
    </row>
    <row r="1476" spans="3:7" x14ac:dyDescent="0.25">
      <c r="C1476" s="83"/>
      <c r="D1476" s="84"/>
      <c r="E1476" s="84"/>
      <c r="F1476" s="84"/>
      <c r="G1476" s="94"/>
    </row>
    <row r="1477" spans="3:7" x14ac:dyDescent="0.25">
      <c r="C1477" s="83"/>
      <c r="D1477" s="84"/>
      <c r="E1477" s="84"/>
      <c r="F1477" s="84"/>
      <c r="G1477" s="94"/>
    </row>
    <row r="1478" spans="3:7" x14ac:dyDescent="0.25">
      <c r="C1478" s="83"/>
      <c r="D1478" s="84"/>
      <c r="E1478" s="84"/>
      <c r="F1478" s="84"/>
      <c r="G1478" s="94"/>
    </row>
    <row r="1479" spans="3:7" x14ac:dyDescent="0.25">
      <c r="C1479" s="83"/>
      <c r="D1479" s="84"/>
      <c r="E1479" s="84"/>
      <c r="F1479" s="84"/>
      <c r="G1479" s="94"/>
    </row>
    <row r="1480" spans="3:7" x14ac:dyDescent="0.25">
      <c r="C1480" s="83"/>
      <c r="D1480" s="84"/>
      <c r="E1480" s="84"/>
      <c r="F1480" s="84"/>
      <c r="G1480" s="94"/>
    </row>
    <row r="1481" spans="3:7" x14ac:dyDescent="0.25">
      <c r="C1481" s="83"/>
      <c r="D1481" s="84"/>
      <c r="E1481" s="84"/>
      <c r="F1481" s="84"/>
      <c r="G1481" s="94"/>
    </row>
    <row r="1482" spans="3:7" x14ac:dyDescent="0.25">
      <c r="C1482" s="83"/>
      <c r="D1482" s="84"/>
      <c r="E1482" s="84"/>
      <c r="F1482" s="84"/>
      <c r="G1482" s="94"/>
    </row>
    <row r="1483" spans="3:7" x14ac:dyDescent="0.25">
      <c r="C1483" s="83"/>
      <c r="D1483" s="84"/>
      <c r="E1483" s="84"/>
      <c r="F1483" s="84"/>
      <c r="G1483" s="94"/>
    </row>
    <row r="1484" spans="3:7" x14ac:dyDescent="0.25">
      <c r="C1484" s="83"/>
      <c r="D1484" s="84"/>
      <c r="E1484" s="84"/>
      <c r="F1484" s="84"/>
      <c r="G1484" s="94"/>
    </row>
    <row r="1485" spans="3:7" x14ac:dyDescent="0.25">
      <c r="C1485" s="83"/>
      <c r="D1485" s="84"/>
      <c r="E1485" s="84"/>
      <c r="F1485" s="84"/>
      <c r="G1485" s="94"/>
    </row>
    <row r="1486" spans="3:7" x14ac:dyDescent="0.25">
      <c r="C1486" s="83"/>
      <c r="D1486" s="84"/>
      <c r="E1486" s="84"/>
      <c r="F1486" s="84"/>
      <c r="G1486" s="94"/>
    </row>
    <row r="1487" spans="3:7" x14ac:dyDescent="0.25">
      <c r="C1487" s="83"/>
      <c r="D1487" s="84"/>
      <c r="E1487" s="84"/>
      <c r="F1487" s="84"/>
      <c r="G1487" s="94"/>
    </row>
    <row r="1488" spans="3:7" x14ac:dyDescent="0.25">
      <c r="C1488" s="83"/>
      <c r="D1488" s="84"/>
      <c r="E1488" s="84"/>
      <c r="F1488" s="84"/>
      <c r="G1488" s="94"/>
    </row>
    <row r="1489" spans="3:7" x14ac:dyDescent="0.25">
      <c r="C1489" s="83"/>
      <c r="D1489" s="84"/>
      <c r="E1489" s="84"/>
      <c r="F1489" s="84"/>
      <c r="G1489" s="94"/>
    </row>
    <row r="1490" spans="3:7" x14ac:dyDescent="0.25">
      <c r="C1490" s="83"/>
      <c r="D1490" s="84"/>
      <c r="E1490" s="84"/>
      <c r="F1490" s="84"/>
      <c r="G1490" s="94"/>
    </row>
    <row r="1491" spans="3:7" x14ac:dyDescent="0.25">
      <c r="C1491" s="83"/>
      <c r="D1491" s="84"/>
      <c r="E1491" s="84"/>
      <c r="F1491" s="84"/>
      <c r="G1491" s="94"/>
    </row>
    <row r="1492" spans="3:7" x14ac:dyDescent="0.25">
      <c r="C1492" s="83"/>
      <c r="D1492" s="84"/>
      <c r="E1492" s="84"/>
      <c r="F1492" s="84"/>
      <c r="G1492" s="94"/>
    </row>
    <row r="1493" spans="3:7" x14ac:dyDescent="0.25">
      <c r="C1493" s="83"/>
      <c r="D1493" s="84"/>
      <c r="E1493" s="84"/>
      <c r="F1493" s="84"/>
      <c r="G1493" s="94"/>
    </row>
    <row r="1494" spans="3:7" x14ac:dyDescent="0.25">
      <c r="C1494" s="83"/>
      <c r="D1494" s="84"/>
      <c r="E1494" s="84"/>
      <c r="F1494" s="84"/>
      <c r="G1494" s="94"/>
    </row>
    <row r="1495" spans="3:7" x14ac:dyDescent="0.25">
      <c r="C1495" s="83"/>
      <c r="D1495" s="84"/>
      <c r="E1495" s="84"/>
      <c r="F1495" s="84"/>
      <c r="G1495" s="94"/>
    </row>
    <row r="1496" spans="3:7" x14ac:dyDescent="0.25">
      <c r="C1496" s="83"/>
      <c r="D1496" s="84"/>
      <c r="E1496" s="84"/>
      <c r="F1496" s="84"/>
      <c r="G1496" s="94"/>
    </row>
    <row r="1497" spans="3:7" x14ac:dyDescent="0.25">
      <c r="C1497" s="83"/>
      <c r="D1497" s="84"/>
      <c r="E1497" s="84"/>
      <c r="F1497" s="84"/>
      <c r="G1497" s="94"/>
    </row>
    <row r="1498" spans="3:7" x14ac:dyDescent="0.25">
      <c r="C1498" s="83"/>
      <c r="D1498" s="84"/>
      <c r="E1498" s="84"/>
      <c r="F1498" s="84"/>
      <c r="G1498" s="94"/>
    </row>
    <row r="1499" spans="3:7" x14ac:dyDescent="0.25">
      <c r="C1499" s="83"/>
      <c r="D1499" s="84"/>
      <c r="E1499" s="84"/>
      <c r="F1499" s="84"/>
      <c r="G1499" s="94"/>
    </row>
    <row r="1500" spans="3:7" x14ac:dyDescent="0.25">
      <c r="C1500" s="83"/>
      <c r="D1500" s="84"/>
      <c r="E1500" s="84"/>
      <c r="F1500" s="84"/>
      <c r="G1500" s="94"/>
    </row>
    <row r="1501" spans="3:7" x14ac:dyDescent="0.25">
      <c r="C1501" s="83"/>
      <c r="D1501" s="84"/>
      <c r="E1501" s="84"/>
      <c r="F1501" s="84"/>
      <c r="G1501" s="94"/>
    </row>
    <row r="1502" spans="3:7" x14ac:dyDescent="0.25">
      <c r="C1502" s="83"/>
      <c r="D1502" s="84"/>
      <c r="E1502" s="84"/>
      <c r="F1502" s="84"/>
      <c r="G1502" s="94"/>
    </row>
    <row r="1503" spans="3:7" x14ac:dyDescent="0.25">
      <c r="C1503" s="83"/>
      <c r="D1503" s="84"/>
      <c r="E1503" s="84"/>
      <c r="F1503" s="84"/>
      <c r="G1503" s="94"/>
    </row>
    <row r="1504" spans="3:7" x14ac:dyDescent="0.25">
      <c r="C1504" s="83"/>
      <c r="D1504" s="84"/>
      <c r="E1504" s="84"/>
      <c r="F1504" s="84"/>
      <c r="G1504" s="94"/>
    </row>
    <row r="1505" spans="3:7" x14ac:dyDescent="0.25">
      <c r="C1505" s="83"/>
      <c r="D1505" s="84"/>
      <c r="E1505" s="84"/>
      <c r="F1505" s="84"/>
      <c r="G1505" s="94"/>
    </row>
    <row r="1506" spans="3:7" x14ac:dyDescent="0.25">
      <c r="C1506" s="83"/>
      <c r="D1506" s="84"/>
      <c r="E1506" s="84"/>
      <c r="F1506" s="84"/>
      <c r="G1506" s="94"/>
    </row>
    <row r="1507" spans="3:7" x14ac:dyDescent="0.25">
      <c r="C1507" s="83"/>
      <c r="D1507" s="84"/>
      <c r="E1507" s="84"/>
      <c r="F1507" s="84"/>
      <c r="G1507" s="94"/>
    </row>
    <row r="1508" spans="3:7" x14ac:dyDescent="0.25">
      <c r="C1508" s="83"/>
      <c r="D1508" s="84"/>
      <c r="E1508" s="84"/>
      <c r="F1508" s="84"/>
      <c r="G1508" s="94"/>
    </row>
    <row r="1509" spans="3:7" x14ac:dyDescent="0.25">
      <c r="C1509" s="83"/>
      <c r="D1509" s="84"/>
      <c r="E1509" s="84"/>
      <c r="F1509" s="84"/>
      <c r="G1509" s="94"/>
    </row>
    <row r="1510" spans="3:7" x14ac:dyDescent="0.25">
      <c r="C1510" s="83"/>
      <c r="D1510" s="84"/>
      <c r="E1510" s="84"/>
      <c r="F1510" s="84"/>
      <c r="G1510" s="94"/>
    </row>
    <row r="1511" spans="3:7" x14ac:dyDescent="0.25">
      <c r="C1511" s="83"/>
      <c r="D1511" s="84"/>
      <c r="E1511" s="84"/>
      <c r="F1511" s="84"/>
      <c r="G1511" s="94"/>
    </row>
    <row r="1512" spans="3:7" x14ac:dyDescent="0.25">
      <c r="C1512" s="83"/>
      <c r="D1512" s="84"/>
      <c r="E1512" s="84"/>
      <c r="F1512" s="84"/>
      <c r="G1512" s="94"/>
    </row>
    <row r="1513" spans="3:7" x14ac:dyDescent="0.25">
      <c r="C1513" s="83"/>
      <c r="D1513" s="84"/>
      <c r="E1513" s="84"/>
      <c r="F1513" s="84"/>
      <c r="G1513" s="94"/>
    </row>
    <row r="1514" spans="3:7" x14ac:dyDescent="0.25">
      <c r="C1514" s="91"/>
      <c r="D1514" s="91"/>
      <c r="G1514" s="94"/>
    </row>
    <row r="1515" spans="3:7" x14ac:dyDescent="0.25">
      <c r="C1515" s="91"/>
      <c r="D1515" s="91"/>
      <c r="G1515" s="94"/>
    </row>
    <row r="1516" spans="3:7" x14ac:dyDescent="0.25">
      <c r="C1516" s="91"/>
      <c r="D1516" s="91"/>
      <c r="G1516" s="94"/>
    </row>
    <row r="1517" spans="3:7" x14ac:dyDescent="0.25">
      <c r="C1517" s="91"/>
      <c r="D1517" s="91"/>
      <c r="G1517" s="94"/>
    </row>
    <row r="1518" spans="3:7" x14ac:dyDescent="0.25">
      <c r="C1518" s="91"/>
      <c r="D1518" s="91"/>
      <c r="G1518" s="94"/>
    </row>
    <row r="1519" spans="3:7" x14ac:dyDescent="0.25">
      <c r="C1519" s="91"/>
      <c r="D1519" s="91"/>
      <c r="G1519" s="94"/>
    </row>
    <row r="1520" spans="3:7" x14ac:dyDescent="0.25">
      <c r="C1520" s="91"/>
      <c r="D1520" s="91"/>
      <c r="G1520" s="94"/>
    </row>
    <row r="1521" spans="3:7" x14ac:dyDescent="0.25">
      <c r="C1521" s="91"/>
      <c r="D1521" s="91"/>
      <c r="G1521" s="94"/>
    </row>
    <row r="1522" spans="3:7" x14ac:dyDescent="0.25">
      <c r="C1522" s="91"/>
      <c r="D1522" s="91"/>
      <c r="G1522" s="94"/>
    </row>
    <row r="1523" spans="3:7" x14ac:dyDescent="0.25">
      <c r="C1523" s="91"/>
      <c r="D1523" s="91"/>
      <c r="G1523" s="94"/>
    </row>
    <row r="1524" spans="3:7" x14ac:dyDescent="0.25">
      <c r="C1524" s="91"/>
      <c r="D1524" s="91"/>
      <c r="G1524" s="94"/>
    </row>
    <row r="1525" spans="3:7" x14ac:dyDescent="0.25">
      <c r="C1525" s="91"/>
      <c r="D1525" s="91"/>
      <c r="G1525" s="94"/>
    </row>
    <row r="1526" spans="3:7" x14ac:dyDescent="0.25">
      <c r="C1526" s="91"/>
      <c r="D1526" s="91"/>
      <c r="G1526" s="94"/>
    </row>
    <row r="1527" spans="3:7" x14ac:dyDescent="0.25">
      <c r="C1527" s="91"/>
      <c r="D1527" s="91"/>
      <c r="G1527" s="94"/>
    </row>
    <row r="1528" spans="3:7" x14ac:dyDescent="0.25">
      <c r="C1528" s="91"/>
      <c r="D1528" s="91"/>
      <c r="G1528" s="94"/>
    </row>
    <row r="1529" spans="3:7" x14ac:dyDescent="0.25">
      <c r="C1529" s="91"/>
      <c r="D1529" s="91"/>
      <c r="G1529" s="94"/>
    </row>
    <row r="1530" spans="3:7" x14ac:dyDescent="0.25">
      <c r="C1530" s="91"/>
      <c r="D1530" s="91"/>
      <c r="G1530" s="94"/>
    </row>
    <row r="1531" spans="3:7" x14ac:dyDescent="0.25">
      <c r="C1531" s="91"/>
      <c r="D1531" s="91"/>
      <c r="G1531" s="94"/>
    </row>
    <row r="1532" spans="3:7" x14ac:dyDescent="0.25">
      <c r="C1532" s="91"/>
      <c r="D1532" s="91"/>
      <c r="G1532" s="94"/>
    </row>
    <row r="1533" spans="3:7" x14ac:dyDescent="0.25">
      <c r="C1533" s="91"/>
      <c r="D1533" s="91"/>
      <c r="G1533" s="94"/>
    </row>
  </sheetData>
  <sheetProtection insertRows="0" deleteRows="0" sort="0"/>
  <mergeCells count="7">
    <mergeCell ref="F41:G41"/>
    <mergeCell ref="C50:G57"/>
    <mergeCell ref="C2:C3"/>
    <mergeCell ref="D2:F2"/>
    <mergeCell ref="C1:G1"/>
    <mergeCell ref="G2:G3"/>
    <mergeCell ref="F37:G39"/>
  </mergeCells>
  <pageMargins left="0.23622047244094491" right="0.23622047244094491" top="0.55118110236220474" bottom="0.55118110236220474" header="0.11811023622047245" footer="0.11811023622047245"/>
  <pageSetup paperSize="9" scale="78" orientation="portrait" r:id="rId1"/>
  <rowBreaks count="1" manualBreakCount="1">
    <brk id="3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A22" zoomScaleNormal="100" zoomScaleSheetLayoutView="100" workbookViewId="0">
      <selection activeCell="J24" sqref="J24"/>
    </sheetView>
  </sheetViews>
  <sheetFormatPr defaultColWidth="9.140625" defaultRowHeight="15" x14ac:dyDescent="0.25"/>
  <cols>
    <col min="1" max="1" width="7.140625" style="80" customWidth="1"/>
    <col min="2" max="2" width="23.85546875" style="80" customWidth="1"/>
    <col min="3" max="3" width="13.85546875" style="80" customWidth="1"/>
    <col min="4" max="4" width="34.140625" style="80" customWidth="1"/>
    <col min="5" max="5" width="24.28515625" style="80" customWidth="1"/>
    <col min="6" max="7" width="10.42578125" style="80" customWidth="1"/>
    <col min="8" max="8" width="12.5703125" style="80" customWidth="1"/>
    <col min="9" max="9" width="15.5703125" style="80" customWidth="1"/>
    <col min="10" max="10" width="13.28515625" style="80" customWidth="1"/>
    <col min="11" max="11" width="14.7109375" style="80" customWidth="1"/>
    <col min="12" max="16384" width="9.140625" style="80"/>
  </cols>
  <sheetData>
    <row r="1" spans="1:11" s="4" customFormat="1" ht="28.9" customHeight="1" x14ac:dyDescent="0.25">
      <c r="B1" s="5"/>
      <c r="C1" s="180" t="s">
        <v>3207</v>
      </c>
      <c r="D1" s="180"/>
      <c r="E1" s="180"/>
      <c r="F1" s="180"/>
      <c r="G1" s="180"/>
      <c r="H1" s="180"/>
      <c r="I1" s="180"/>
      <c r="J1" s="5"/>
    </row>
    <row r="2" spans="1:11" s="4" customFormat="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s="4" customFormat="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s="4" customFormat="1" x14ac:dyDescent="0.25">
      <c r="C4" s="152"/>
      <c r="D4" s="152"/>
      <c r="E4" s="152"/>
      <c r="F4" s="152"/>
      <c r="G4" s="152"/>
      <c r="H4" s="152"/>
      <c r="I4" s="152"/>
      <c r="K4" s="153" t="s">
        <v>3208</v>
      </c>
    </row>
    <row r="5" spans="1:11" s="4" customFormat="1" x14ac:dyDescent="0.25">
      <c r="K5" s="153" t="s">
        <v>3209</v>
      </c>
    </row>
    <row r="7" spans="1:11" s="74" customFormat="1" ht="41.25" customHeight="1" x14ac:dyDescent="0.25">
      <c r="A7" s="171" t="s">
        <v>15</v>
      </c>
      <c r="B7" s="171" t="s">
        <v>0</v>
      </c>
      <c r="C7" s="171" t="s">
        <v>13</v>
      </c>
      <c r="D7" s="171" t="s">
        <v>1</v>
      </c>
      <c r="E7" s="171" t="s">
        <v>6</v>
      </c>
      <c r="F7" s="171" t="s">
        <v>14</v>
      </c>
      <c r="G7" s="171" t="s">
        <v>958</v>
      </c>
      <c r="H7" s="43"/>
      <c r="I7" s="44" t="s">
        <v>16</v>
      </c>
      <c r="J7" s="66"/>
      <c r="K7" s="171" t="s">
        <v>1029</v>
      </c>
    </row>
    <row r="8" spans="1:11" s="74" customFormat="1" ht="60" customHeight="1" x14ac:dyDescent="0.25">
      <c r="A8" s="172"/>
      <c r="B8" s="172"/>
      <c r="C8" s="172"/>
      <c r="D8" s="172"/>
      <c r="E8" s="172"/>
      <c r="F8" s="172"/>
      <c r="G8" s="171"/>
      <c r="H8" s="65" t="s">
        <v>3</v>
      </c>
      <c r="I8" s="65" t="s">
        <v>24</v>
      </c>
      <c r="J8" s="67" t="s">
        <v>4</v>
      </c>
      <c r="K8" s="172"/>
    </row>
    <row r="9" spans="1:11" s="74" customFormat="1" ht="21.75" customHeight="1" x14ac:dyDescent="0.25">
      <c r="A9" s="131">
        <v>1</v>
      </c>
      <c r="B9" s="131">
        <v>2</v>
      </c>
      <c r="C9" s="131">
        <v>3</v>
      </c>
      <c r="D9" s="131">
        <v>4</v>
      </c>
      <c r="E9" s="131">
        <v>5</v>
      </c>
      <c r="F9" s="132">
        <v>6</v>
      </c>
      <c r="G9" s="132">
        <v>7</v>
      </c>
      <c r="H9" s="132">
        <v>8</v>
      </c>
      <c r="I9" s="131">
        <v>9</v>
      </c>
      <c r="J9" s="131">
        <v>10</v>
      </c>
      <c r="K9" s="67">
        <v>11</v>
      </c>
    </row>
    <row r="10" spans="1:11" s="74" customFormat="1" ht="29.25" customHeight="1" x14ac:dyDescent="0.25">
      <c r="A10" s="133" t="s">
        <v>2</v>
      </c>
      <c r="B10" s="134"/>
      <c r="C10" s="134"/>
      <c r="D10" s="134"/>
      <c r="E10" s="134"/>
      <c r="F10" s="135"/>
      <c r="G10" s="135"/>
      <c r="H10" s="36">
        <f>SUM(H11:H31)</f>
        <v>21.465999999999998</v>
      </c>
      <c r="I10" s="36">
        <f>SUM(I11:I31)</f>
        <v>8.782</v>
      </c>
      <c r="J10" s="36">
        <f>SUM(J11:J31)</f>
        <v>42.253</v>
      </c>
      <c r="K10" s="36">
        <f>SUM(K11:K31)</f>
        <v>63.718999999999994</v>
      </c>
    </row>
    <row r="11" spans="1:11" s="74" customFormat="1" ht="29.25" customHeight="1" x14ac:dyDescent="0.25">
      <c r="A11" s="67">
        <v>1</v>
      </c>
      <c r="B11" s="49" t="s">
        <v>2024</v>
      </c>
      <c r="C11" s="15" t="s">
        <v>39</v>
      </c>
      <c r="D11" s="7" t="s">
        <v>594</v>
      </c>
      <c r="E11" s="14" t="s">
        <v>1028</v>
      </c>
      <c r="F11" s="13" t="s">
        <v>1051</v>
      </c>
      <c r="G11" s="13">
        <v>4</v>
      </c>
      <c r="H11" s="10">
        <f>0.629+0.933</f>
        <v>1.5620000000000001</v>
      </c>
      <c r="I11" s="10">
        <f>0.407+0.222</f>
        <v>0.629</v>
      </c>
      <c r="J11" s="10">
        <v>0</v>
      </c>
      <c r="K11" s="36">
        <f>J11+H11</f>
        <v>1.5620000000000001</v>
      </c>
    </row>
    <row r="12" spans="1:11" s="74" customFormat="1" ht="30.6" customHeight="1" x14ac:dyDescent="0.25">
      <c r="A12" s="67">
        <v>2</v>
      </c>
      <c r="B12" s="49" t="s">
        <v>2025</v>
      </c>
      <c r="C12" s="15" t="s">
        <v>39</v>
      </c>
      <c r="D12" s="7" t="s">
        <v>592</v>
      </c>
      <c r="E12" s="14" t="s">
        <v>1028</v>
      </c>
      <c r="F12" s="13" t="s">
        <v>1051</v>
      </c>
      <c r="G12" s="13">
        <v>4</v>
      </c>
      <c r="H12" s="10">
        <v>0.98499999999999999</v>
      </c>
      <c r="I12" s="10">
        <v>0</v>
      </c>
      <c r="J12" s="10">
        <v>0</v>
      </c>
      <c r="K12" s="36">
        <f t="shared" ref="K12:K31" si="0">J12+H12</f>
        <v>0.98499999999999999</v>
      </c>
    </row>
    <row r="13" spans="1:11" s="74" customFormat="1" ht="26.45" customHeight="1" x14ac:dyDescent="0.25">
      <c r="A13" s="140">
        <v>3</v>
      </c>
      <c r="B13" s="49" t="s">
        <v>2026</v>
      </c>
      <c r="C13" s="15" t="s">
        <v>39</v>
      </c>
      <c r="D13" s="7" t="s">
        <v>593</v>
      </c>
      <c r="E13" s="14" t="s">
        <v>1028</v>
      </c>
      <c r="F13" s="13" t="s">
        <v>1051</v>
      </c>
      <c r="G13" s="13">
        <v>3.5</v>
      </c>
      <c r="H13" s="10">
        <f>1.164+1.525</f>
        <v>2.6890000000000001</v>
      </c>
      <c r="I13" s="10">
        <v>1.1639999999999999</v>
      </c>
      <c r="J13" s="10">
        <v>0.53</v>
      </c>
      <c r="K13" s="36">
        <f t="shared" si="0"/>
        <v>3.2190000000000003</v>
      </c>
    </row>
    <row r="14" spans="1:11" s="74" customFormat="1" ht="34.5" customHeight="1" x14ac:dyDescent="0.25">
      <c r="A14" s="140">
        <v>4</v>
      </c>
      <c r="B14" s="49" t="s">
        <v>2027</v>
      </c>
      <c r="C14" s="15" t="s">
        <v>39</v>
      </c>
      <c r="D14" s="7" t="s">
        <v>595</v>
      </c>
      <c r="E14" s="14" t="s">
        <v>1028</v>
      </c>
      <c r="F14" s="13" t="s">
        <v>1051</v>
      </c>
      <c r="G14" s="13">
        <v>4</v>
      </c>
      <c r="H14" s="10">
        <v>0.50700000000000001</v>
      </c>
      <c r="I14" s="10">
        <v>0</v>
      </c>
      <c r="J14" s="10">
        <f>1.027+0.571+0.08+0.124+0.112+0.113+0.102</f>
        <v>2.129</v>
      </c>
      <c r="K14" s="36">
        <f t="shared" si="0"/>
        <v>2.6360000000000001</v>
      </c>
    </row>
    <row r="15" spans="1:11" s="74" customFormat="1" ht="28.15" customHeight="1" x14ac:dyDescent="0.25">
      <c r="A15" s="140">
        <v>5</v>
      </c>
      <c r="B15" s="49" t="s">
        <v>2028</v>
      </c>
      <c r="C15" s="15" t="s">
        <v>39</v>
      </c>
      <c r="D15" s="7" t="s">
        <v>596</v>
      </c>
      <c r="E15" s="14" t="s">
        <v>1028</v>
      </c>
      <c r="F15" s="13" t="s">
        <v>1051</v>
      </c>
      <c r="G15" s="13">
        <v>4</v>
      </c>
      <c r="H15" s="10">
        <v>1.171</v>
      </c>
      <c r="I15" s="10">
        <v>0</v>
      </c>
      <c r="J15" s="10">
        <v>0</v>
      </c>
      <c r="K15" s="36">
        <f t="shared" si="0"/>
        <v>1.171</v>
      </c>
    </row>
    <row r="16" spans="1:11" s="74" customFormat="1" ht="28.9" customHeight="1" x14ac:dyDescent="0.25">
      <c r="A16" s="140">
        <v>6</v>
      </c>
      <c r="B16" s="49" t="s">
        <v>2029</v>
      </c>
      <c r="C16" s="15" t="s">
        <v>39</v>
      </c>
      <c r="D16" s="7" t="s">
        <v>597</v>
      </c>
      <c r="E16" s="14" t="s">
        <v>1028</v>
      </c>
      <c r="F16" s="13" t="s">
        <v>1051</v>
      </c>
      <c r="G16" s="13">
        <v>3.5</v>
      </c>
      <c r="H16" s="10">
        <v>3.129</v>
      </c>
      <c r="I16" s="10">
        <v>3.129</v>
      </c>
      <c r="J16" s="10">
        <v>3.722</v>
      </c>
      <c r="K16" s="36">
        <f t="shared" si="0"/>
        <v>6.851</v>
      </c>
    </row>
    <row r="17" spans="1:11" s="74" customFormat="1" ht="30" customHeight="1" x14ac:dyDescent="0.25">
      <c r="A17" s="140">
        <v>7</v>
      </c>
      <c r="B17" s="49" t="s">
        <v>2030</v>
      </c>
      <c r="C17" s="15" t="s">
        <v>39</v>
      </c>
      <c r="D17" s="7" t="s">
        <v>598</v>
      </c>
      <c r="E17" s="14" t="s">
        <v>1028</v>
      </c>
      <c r="F17" s="13" t="s">
        <v>1051</v>
      </c>
      <c r="G17" s="13">
        <v>4</v>
      </c>
      <c r="H17" s="10">
        <v>0.56799999999999995</v>
      </c>
      <c r="I17" s="10">
        <v>0</v>
      </c>
      <c r="J17" s="10">
        <v>0</v>
      </c>
      <c r="K17" s="36">
        <f t="shared" si="0"/>
        <v>0.56799999999999995</v>
      </c>
    </row>
    <row r="18" spans="1:11" s="74" customFormat="1" ht="26.45" customHeight="1" x14ac:dyDescent="0.25">
      <c r="A18" s="140">
        <v>8</v>
      </c>
      <c r="B18" s="49" t="s">
        <v>2031</v>
      </c>
      <c r="C18" s="15" t="s">
        <v>976</v>
      </c>
      <c r="D18" s="7" t="s">
        <v>599</v>
      </c>
      <c r="E18" s="14" t="s">
        <v>1028</v>
      </c>
      <c r="F18" s="13" t="s">
        <v>1051</v>
      </c>
      <c r="G18" s="13">
        <v>4</v>
      </c>
      <c r="H18" s="10">
        <v>0.38600000000000001</v>
      </c>
      <c r="I18" s="10">
        <v>0</v>
      </c>
      <c r="J18" s="10">
        <v>0</v>
      </c>
      <c r="K18" s="36">
        <f t="shared" si="0"/>
        <v>0.38600000000000001</v>
      </c>
    </row>
    <row r="19" spans="1:11" s="74" customFormat="1" ht="26.45" customHeight="1" x14ac:dyDescent="0.25">
      <c r="A19" s="140">
        <v>9</v>
      </c>
      <c r="B19" s="49" t="s">
        <v>2032</v>
      </c>
      <c r="C19" s="15" t="s">
        <v>39</v>
      </c>
      <c r="D19" s="7" t="s">
        <v>600</v>
      </c>
      <c r="E19" s="14" t="s">
        <v>1028</v>
      </c>
      <c r="F19" s="13" t="s">
        <v>1051</v>
      </c>
      <c r="G19" s="13">
        <v>4</v>
      </c>
      <c r="H19" s="10">
        <v>1.0489999999999999</v>
      </c>
      <c r="I19" s="10">
        <v>0</v>
      </c>
      <c r="J19" s="10">
        <v>0</v>
      </c>
      <c r="K19" s="36">
        <f t="shared" si="0"/>
        <v>1.0489999999999999</v>
      </c>
    </row>
    <row r="20" spans="1:11" s="74" customFormat="1" ht="29.45" customHeight="1" x14ac:dyDescent="0.25">
      <c r="A20" s="140">
        <v>10</v>
      </c>
      <c r="B20" s="49" t="s">
        <v>2033</v>
      </c>
      <c r="C20" s="15" t="s">
        <v>39</v>
      </c>
      <c r="D20" s="7" t="s">
        <v>601</v>
      </c>
      <c r="E20" s="14" t="s">
        <v>1028</v>
      </c>
      <c r="F20" s="13" t="s">
        <v>1051</v>
      </c>
      <c r="G20" s="13">
        <v>4</v>
      </c>
      <c r="H20" s="10">
        <v>1.619</v>
      </c>
      <c r="I20" s="10">
        <v>0</v>
      </c>
      <c r="J20" s="10">
        <v>0</v>
      </c>
      <c r="K20" s="36">
        <f t="shared" si="0"/>
        <v>1.619</v>
      </c>
    </row>
    <row r="21" spans="1:11" s="74" customFormat="1" ht="27" customHeight="1" x14ac:dyDescent="0.25">
      <c r="A21" s="140">
        <v>11</v>
      </c>
      <c r="B21" s="49" t="s">
        <v>2034</v>
      </c>
      <c r="C21" s="15" t="s">
        <v>38</v>
      </c>
      <c r="D21" s="7" t="s">
        <v>602</v>
      </c>
      <c r="E21" s="14" t="s">
        <v>1028</v>
      </c>
      <c r="F21" s="13" t="s">
        <v>1051</v>
      </c>
      <c r="G21" s="13">
        <v>3.5</v>
      </c>
      <c r="H21" s="10">
        <v>0</v>
      </c>
      <c r="I21" s="10">
        <v>0</v>
      </c>
      <c r="J21" s="10">
        <v>2.2839999999999998</v>
      </c>
      <c r="K21" s="36">
        <f t="shared" si="0"/>
        <v>2.2839999999999998</v>
      </c>
    </row>
    <row r="22" spans="1:11" s="74" customFormat="1" ht="27.6" customHeight="1" x14ac:dyDescent="0.25">
      <c r="A22" s="140">
        <v>12</v>
      </c>
      <c r="B22" s="49" t="s">
        <v>2035</v>
      </c>
      <c r="C22" s="15" t="s">
        <v>38</v>
      </c>
      <c r="D22" s="7" t="s">
        <v>603</v>
      </c>
      <c r="E22" s="14" t="s">
        <v>1028</v>
      </c>
      <c r="F22" s="13" t="s">
        <v>1051</v>
      </c>
      <c r="G22" s="13">
        <v>3.5</v>
      </c>
      <c r="H22" s="10">
        <v>1.9</v>
      </c>
      <c r="I22" s="10">
        <v>0</v>
      </c>
      <c r="J22" s="10">
        <v>0</v>
      </c>
      <c r="K22" s="36">
        <f t="shared" si="0"/>
        <v>1.9</v>
      </c>
    </row>
    <row r="23" spans="1:11" s="74" customFormat="1" ht="33" customHeight="1" x14ac:dyDescent="0.25">
      <c r="A23" s="140">
        <v>13</v>
      </c>
      <c r="B23" s="49" t="s">
        <v>2036</v>
      </c>
      <c r="C23" s="15" t="s">
        <v>38</v>
      </c>
      <c r="D23" s="7" t="s">
        <v>604</v>
      </c>
      <c r="E23" s="14" t="s">
        <v>1028</v>
      </c>
      <c r="F23" s="13" t="s">
        <v>1051</v>
      </c>
      <c r="G23" s="13">
        <v>3.5</v>
      </c>
      <c r="H23" s="10">
        <v>2.0409999999999999</v>
      </c>
      <c r="I23" s="10">
        <v>0</v>
      </c>
      <c r="J23" s="10">
        <v>0</v>
      </c>
      <c r="K23" s="36">
        <f t="shared" si="0"/>
        <v>2.0409999999999999</v>
      </c>
    </row>
    <row r="24" spans="1:11" s="74" customFormat="1" ht="38.25" customHeight="1" x14ac:dyDescent="0.25">
      <c r="A24" s="140">
        <v>14</v>
      </c>
      <c r="B24" s="49" t="s">
        <v>2037</v>
      </c>
      <c r="C24" s="15" t="s">
        <v>38</v>
      </c>
      <c r="D24" s="7" t="s">
        <v>605</v>
      </c>
      <c r="E24" s="14" t="s">
        <v>1028</v>
      </c>
      <c r="F24" s="13" t="s">
        <v>1051</v>
      </c>
      <c r="G24" s="13">
        <v>4</v>
      </c>
      <c r="H24" s="10">
        <v>2.9649999999999999</v>
      </c>
      <c r="I24" s="10">
        <v>2.9649999999999999</v>
      </c>
      <c r="J24" s="10">
        <v>0</v>
      </c>
      <c r="K24" s="36">
        <f t="shared" si="0"/>
        <v>2.9649999999999999</v>
      </c>
    </row>
    <row r="25" spans="1:11" s="74" customFormat="1" ht="47.25" customHeight="1" x14ac:dyDescent="0.25">
      <c r="A25" s="140">
        <v>15</v>
      </c>
      <c r="B25" s="49" t="s">
        <v>2038</v>
      </c>
      <c r="C25" s="15" t="s">
        <v>38</v>
      </c>
      <c r="D25" s="7" t="s">
        <v>606</v>
      </c>
      <c r="E25" s="14" t="s">
        <v>1028</v>
      </c>
      <c r="F25" s="13" t="s">
        <v>1051</v>
      </c>
      <c r="G25" s="13">
        <v>4</v>
      </c>
      <c r="H25" s="10">
        <v>0.89500000000000002</v>
      </c>
      <c r="I25" s="10">
        <v>0.89500000000000002</v>
      </c>
      <c r="J25" s="10">
        <v>0</v>
      </c>
      <c r="K25" s="36">
        <f t="shared" si="0"/>
        <v>0.89500000000000002</v>
      </c>
    </row>
    <row r="26" spans="1:11" s="74" customFormat="1" ht="23.25" customHeight="1" x14ac:dyDescent="0.25">
      <c r="A26" s="140">
        <v>16</v>
      </c>
      <c r="B26" s="49" t="s">
        <v>2039</v>
      </c>
      <c r="C26" s="15" t="s">
        <v>38</v>
      </c>
      <c r="D26" s="7" t="s">
        <v>607</v>
      </c>
      <c r="E26" s="14" t="s">
        <v>1028</v>
      </c>
      <c r="F26" s="13" t="s">
        <v>1051</v>
      </c>
      <c r="G26" s="13">
        <v>3.5</v>
      </c>
      <c r="H26" s="10">
        <v>0</v>
      </c>
      <c r="I26" s="10">
        <v>0</v>
      </c>
      <c r="J26" s="10">
        <v>6.8460000000000001</v>
      </c>
      <c r="K26" s="36">
        <f t="shared" si="0"/>
        <v>6.8460000000000001</v>
      </c>
    </row>
    <row r="27" spans="1:11" s="74" customFormat="1" ht="33.75" customHeight="1" x14ac:dyDescent="0.25">
      <c r="A27" s="140">
        <v>17</v>
      </c>
      <c r="B27" s="49" t="s">
        <v>2040</v>
      </c>
      <c r="C27" s="15" t="s">
        <v>38</v>
      </c>
      <c r="D27" s="7" t="s">
        <v>608</v>
      </c>
      <c r="E27" s="14" t="s">
        <v>1028</v>
      </c>
      <c r="F27" s="13" t="s">
        <v>1051</v>
      </c>
      <c r="G27" s="13">
        <v>3.5</v>
      </c>
      <c r="H27" s="10">
        <v>0</v>
      </c>
      <c r="I27" s="10">
        <v>0</v>
      </c>
      <c r="J27" s="10">
        <v>6.4089999999999998</v>
      </c>
      <c r="K27" s="36">
        <f t="shared" si="0"/>
        <v>6.4089999999999998</v>
      </c>
    </row>
    <row r="28" spans="1:11" s="74" customFormat="1" ht="33.75" customHeight="1" x14ac:dyDescent="0.25">
      <c r="A28" s="140">
        <v>18</v>
      </c>
      <c r="B28" s="49" t="s">
        <v>2041</v>
      </c>
      <c r="C28" s="15" t="s">
        <v>38</v>
      </c>
      <c r="D28" s="7" t="s">
        <v>609</v>
      </c>
      <c r="E28" s="14" t="s">
        <v>1028</v>
      </c>
      <c r="F28" s="13" t="s">
        <v>1051</v>
      </c>
      <c r="G28" s="13">
        <v>3.5</v>
      </c>
      <c r="H28" s="10">
        <v>0</v>
      </c>
      <c r="I28" s="10">
        <v>0</v>
      </c>
      <c r="J28" s="10">
        <v>5.69</v>
      </c>
      <c r="K28" s="36">
        <f t="shared" si="0"/>
        <v>5.69</v>
      </c>
    </row>
    <row r="29" spans="1:11" s="74" customFormat="1" ht="36" customHeight="1" x14ac:dyDescent="0.25">
      <c r="A29" s="140">
        <v>19</v>
      </c>
      <c r="B29" s="49" t="s">
        <v>2042</v>
      </c>
      <c r="C29" s="15" t="s">
        <v>38</v>
      </c>
      <c r="D29" s="7" t="s">
        <v>610</v>
      </c>
      <c r="E29" s="14" t="s">
        <v>1028</v>
      </c>
      <c r="F29" s="13" t="s">
        <v>1051</v>
      </c>
      <c r="G29" s="13">
        <v>3.5</v>
      </c>
      <c r="H29" s="10">
        <v>0</v>
      </c>
      <c r="I29" s="10">
        <v>0</v>
      </c>
      <c r="J29" s="10">
        <v>5.258</v>
      </c>
      <c r="K29" s="36">
        <f t="shared" si="0"/>
        <v>5.258</v>
      </c>
    </row>
    <row r="30" spans="1:11" s="74" customFormat="1" ht="34.5" customHeight="1" x14ac:dyDescent="0.25">
      <c r="A30" s="140">
        <v>20</v>
      </c>
      <c r="B30" s="49" t="s">
        <v>2043</v>
      </c>
      <c r="C30" s="15" t="s">
        <v>38</v>
      </c>
      <c r="D30" s="7" t="s">
        <v>611</v>
      </c>
      <c r="E30" s="14" t="s">
        <v>1028</v>
      </c>
      <c r="F30" s="13" t="s">
        <v>1051</v>
      </c>
      <c r="G30" s="13">
        <v>3.5</v>
      </c>
      <c r="H30" s="10">
        <v>0</v>
      </c>
      <c r="I30" s="10">
        <v>0</v>
      </c>
      <c r="J30" s="10">
        <v>4.1289999999999996</v>
      </c>
      <c r="K30" s="36">
        <f t="shared" si="0"/>
        <v>4.1289999999999996</v>
      </c>
    </row>
    <row r="31" spans="1:11" s="74" customFormat="1" ht="33.75" customHeight="1" x14ac:dyDescent="0.25">
      <c r="A31" s="140">
        <v>21</v>
      </c>
      <c r="B31" s="49" t="s">
        <v>2044</v>
      </c>
      <c r="C31" s="15" t="s">
        <v>38</v>
      </c>
      <c r="D31" s="7" t="s">
        <v>612</v>
      </c>
      <c r="E31" s="14" t="s">
        <v>1028</v>
      </c>
      <c r="F31" s="13" t="s">
        <v>1051</v>
      </c>
      <c r="G31" s="13">
        <v>3.5</v>
      </c>
      <c r="H31" s="10">
        <v>0</v>
      </c>
      <c r="I31" s="10">
        <v>0</v>
      </c>
      <c r="J31" s="10">
        <v>5.2560000000000002</v>
      </c>
      <c r="K31" s="36">
        <f t="shared" si="0"/>
        <v>5.2560000000000002</v>
      </c>
    </row>
  </sheetData>
  <sheetProtection insertRows="0" deleteRows="0" sort="0"/>
  <mergeCells count="9">
    <mergeCell ref="K7:K8"/>
    <mergeCell ref="G7:G8"/>
    <mergeCell ref="F7:F8"/>
    <mergeCell ref="C1:I1"/>
    <mergeCell ref="A7:A8"/>
    <mergeCell ref="B7:B8"/>
    <mergeCell ref="C7:C8"/>
    <mergeCell ref="D7:D8"/>
    <mergeCell ref="E7:E8"/>
  </mergeCells>
  <conditionalFormatting sqref="K11:K31">
    <cfRule type="expression" dxfId="28" priority="2">
      <formula>$H11+$J11&lt;&gt;$K11</formula>
    </cfRule>
  </conditionalFormatting>
  <conditionalFormatting sqref="H10:K10">
    <cfRule type="expression" dxfId="27" priority="228">
      <formula>H$10&lt;&gt;SUM(H$11:H$31)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zoomScaleNormal="100" workbookViewId="0">
      <selection activeCell="J62" sqref="J62"/>
    </sheetView>
  </sheetViews>
  <sheetFormatPr defaultColWidth="9.140625" defaultRowHeight="15" x14ac:dyDescent="0.25"/>
  <cols>
    <col min="1" max="1" width="6.85546875" style="80" customWidth="1"/>
    <col min="2" max="2" width="23.85546875" style="80" customWidth="1"/>
    <col min="3" max="3" width="12.85546875" style="80" customWidth="1"/>
    <col min="4" max="4" width="32.42578125" style="80" customWidth="1"/>
    <col min="5" max="5" width="23.140625" style="80" customWidth="1"/>
    <col min="6" max="7" width="10.42578125" style="80" customWidth="1"/>
    <col min="8" max="8" width="12" style="80" customWidth="1"/>
    <col min="9" max="9" width="15.5703125" style="80" customWidth="1"/>
    <col min="10" max="10" width="11.140625" style="80" customWidth="1"/>
    <col min="11" max="11" width="15" style="85" customWidth="1"/>
    <col min="12" max="16384" width="9.140625" style="80"/>
  </cols>
  <sheetData>
    <row r="1" spans="1:11" s="4" customFormat="1" ht="28.9" customHeight="1" x14ac:dyDescent="0.25">
      <c r="B1" s="5"/>
      <c r="C1" s="180" t="s">
        <v>3210</v>
      </c>
      <c r="D1" s="180"/>
      <c r="E1" s="180"/>
      <c r="F1" s="180"/>
      <c r="G1" s="180"/>
      <c r="H1" s="180"/>
      <c r="I1" s="180"/>
      <c r="J1" s="5"/>
    </row>
    <row r="2" spans="1:11" s="4" customFormat="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s="4" customFormat="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s="4" customFormat="1" x14ac:dyDescent="0.25">
      <c r="C4" s="152"/>
      <c r="D4" s="152"/>
      <c r="E4" s="152"/>
      <c r="F4" s="152"/>
      <c r="G4" s="152"/>
      <c r="H4" s="152"/>
      <c r="I4" s="152"/>
      <c r="K4" s="153" t="s">
        <v>3211</v>
      </c>
    </row>
    <row r="5" spans="1:11" s="4" customFormat="1" x14ac:dyDescent="0.25">
      <c r="K5" s="153" t="s">
        <v>3212</v>
      </c>
    </row>
    <row r="7" spans="1:11" s="74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43"/>
      <c r="I7" s="44" t="s">
        <v>16</v>
      </c>
      <c r="J7" s="149"/>
      <c r="K7" s="178" t="s">
        <v>5</v>
      </c>
    </row>
    <row r="8" spans="1:11" s="74" customFormat="1" ht="60" customHeight="1" x14ac:dyDescent="0.25">
      <c r="A8" s="183"/>
      <c r="B8" s="183"/>
      <c r="C8" s="183"/>
      <c r="D8" s="183"/>
      <c r="E8" s="183"/>
      <c r="F8" s="183"/>
      <c r="G8" s="183"/>
      <c r="H8" s="150" t="s">
        <v>3</v>
      </c>
      <c r="I8" s="150" t="s">
        <v>24</v>
      </c>
      <c r="J8" s="140" t="s">
        <v>4</v>
      </c>
      <c r="K8" s="183"/>
    </row>
    <row r="9" spans="1:11" s="74" customFormat="1" ht="21.75" customHeight="1" x14ac:dyDescent="0.25">
      <c r="A9" s="131">
        <v>1</v>
      </c>
      <c r="B9" s="131">
        <v>2</v>
      </c>
      <c r="C9" s="131">
        <v>3</v>
      </c>
      <c r="D9" s="131">
        <v>4</v>
      </c>
      <c r="E9" s="131">
        <v>5</v>
      </c>
      <c r="F9" s="132">
        <v>6</v>
      </c>
      <c r="G9" s="132">
        <v>7</v>
      </c>
      <c r="H9" s="132">
        <v>8</v>
      </c>
      <c r="I9" s="131">
        <v>9</v>
      </c>
      <c r="J9" s="131">
        <v>10</v>
      </c>
      <c r="K9" s="50">
        <v>11</v>
      </c>
    </row>
    <row r="10" spans="1:11" s="74" customFormat="1" ht="29.25" customHeight="1" x14ac:dyDescent="0.25">
      <c r="A10" s="133" t="s">
        <v>2</v>
      </c>
      <c r="B10" s="134"/>
      <c r="C10" s="134"/>
      <c r="D10" s="134"/>
      <c r="E10" s="134"/>
      <c r="F10" s="135"/>
      <c r="G10" s="135"/>
      <c r="H10" s="36">
        <f t="shared" ref="H10:J10" si="0">SUM(H11:H79)</f>
        <v>18.547999999999998</v>
      </c>
      <c r="I10" s="36">
        <f t="shared" si="0"/>
        <v>10.585000000000001</v>
      </c>
      <c r="J10" s="36">
        <f t="shared" si="0"/>
        <v>84.43</v>
      </c>
      <c r="K10" s="130">
        <f>SUM(K11:K79)</f>
        <v>102.97799999999999</v>
      </c>
    </row>
    <row r="11" spans="1:11" s="74" customFormat="1" ht="29.25" customHeight="1" x14ac:dyDescent="0.25">
      <c r="A11" s="140">
        <v>1</v>
      </c>
      <c r="B11" s="49" t="s">
        <v>2045</v>
      </c>
      <c r="C11" s="15" t="s">
        <v>39</v>
      </c>
      <c r="D11" s="7" t="s">
        <v>25</v>
      </c>
      <c r="E11" s="14" t="s">
        <v>1030</v>
      </c>
      <c r="F11" s="13" t="s">
        <v>1051</v>
      </c>
      <c r="G11" s="13">
        <v>4</v>
      </c>
      <c r="H11" s="10">
        <v>0.78</v>
      </c>
      <c r="I11" s="10">
        <v>0.16</v>
      </c>
      <c r="J11" s="10">
        <v>0</v>
      </c>
      <c r="K11" s="130">
        <f>H11+J11</f>
        <v>0.78</v>
      </c>
    </row>
    <row r="12" spans="1:11" s="74" customFormat="1" ht="31.15" customHeight="1" x14ac:dyDescent="0.25">
      <c r="A12" s="140">
        <v>2</v>
      </c>
      <c r="B12" s="49" t="s">
        <v>2046</v>
      </c>
      <c r="C12" s="15" t="s">
        <v>39</v>
      </c>
      <c r="D12" s="7" t="s">
        <v>26</v>
      </c>
      <c r="E12" s="14" t="s">
        <v>1030</v>
      </c>
      <c r="F12" s="13" t="s">
        <v>1114</v>
      </c>
      <c r="G12" s="13">
        <v>6</v>
      </c>
      <c r="H12" s="10">
        <f>0.244+0.236</f>
        <v>0.48</v>
      </c>
      <c r="I12" s="10">
        <v>0.35399999999999998</v>
      </c>
      <c r="J12" s="10">
        <v>0</v>
      </c>
      <c r="K12" s="130">
        <f t="shared" ref="K12:K47" si="1">H12+J12</f>
        <v>0.48</v>
      </c>
    </row>
    <row r="13" spans="1:11" s="74" customFormat="1" ht="30.6" customHeight="1" x14ac:dyDescent="0.25">
      <c r="A13" s="140">
        <v>3</v>
      </c>
      <c r="B13" s="49" t="s">
        <v>2047</v>
      </c>
      <c r="C13" s="15" t="s">
        <v>39</v>
      </c>
      <c r="D13" s="7" t="s">
        <v>28</v>
      </c>
      <c r="E13" s="14" t="s">
        <v>1030</v>
      </c>
      <c r="F13" s="13" t="s">
        <v>1051</v>
      </c>
      <c r="G13" s="13">
        <v>4</v>
      </c>
      <c r="H13" s="10">
        <v>0.67</v>
      </c>
      <c r="I13" s="10">
        <v>0</v>
      </c>
      <c r="J13" s="10">
        <v>0.64</v>
      </c>
      <c r="K13" s="130">
        <f t="shared" si="1"/>
        <v>1.31</v>
      </c>
    </row>
    <row r="14" spans="1:11" s="74" customFormat="1" ht="30.75" customHeight="1" x14ac:dyDescent="0.25">
      <c r="A14" s="140">
        <v>4</v>
      </c>
      <c r="B14" s="49" t="s">
        <v>2048</v>
      </c>
      <c r="C14" s="15" t="s">
        <v>39</v>
      </c>
      <c r="D14" s="7" t="s">
        <v>27</v>
      </c>
      <c r="E14" s="14" t="s">
        <v>1030</v>
      </c>
      <c r="F14" s="13" t="s">
        <v>1051</v>
      </c>
      <c r="G14" s="13">
        <v>4</v>
      </c>
      <c r="H14" s="10">
        <v>0</v>
      </c>
      <c r="I14" s="10">
        <v>0</v>
      </c>
      <c r="J14" s="10">
        <v>0.13</v>
      </c>
      <c r="K14" s="130">
        <f t="shared" si="1"/>
        <v>0.13</v>
      </c>
    </row>
    <row r="15" spans="1:11" s="74" customFormat="1" ht="36" customHeight="1" x14ac:dyDescent="0.25">
      <c r="A15" s="140">
        <v>5</v>
      </c>
      <c r="B15" s="49" t="s">
        <v>2049</v>
      </c>
      <c r="C15" s="15" t="s">
        <v>38</v>
      </c>
      <c r="D15" s="7" t="s">
        <v>29</v>
      </c>
      <c r="E15" s="14" t="s">
        <v>1030</v>
      </c>
      <c r="F15" s="13" t="s">
        <v>1051</v>
      </c>
      <c r="G15" s="13">
        <v>4.5</v>
      </c>
      <c r="H15" s="10">
        <v>0</v>
      </c>
      <c r="I15" s="10">
        <v>0</v>
      </c>
      <c r="J15" s="10">
        <v>0.13</v>
      </c>
      <c r="K15" s="130">
        <f t="shared" si="1"/>
        <v>0.13</v>
      </c>
    </row>
    <row r="16" spans="1:11" s="74" customFormat="1" ht="36" customHeight="1" x14ac:dyDescent="0.25">
      <c r="A16" s="140">
        <v>6</v>
      </c>
      <c r="B16" s="49" t="s">
        <v>2050</v>
      </c>
      <c r="C16" s="15" t="s">
        <v>38</v>
      </c>
      <c r="D16" s="7" t="s">
        <v>31</v>
      </c>
      <c r="E16" s="14" t="s">
        <v>1030</v>
      </c>
      <c r="F16" s="13" t="s">
        <v>1051</v>
      </c>
      <c r="G16" s="13">
        <v>3.5</v>
      </c>
      <c r="H16" s="10">
        <v>0</v>
      </c>
      <c r="I16" s="10">
        <v>0</v>
      </c>
      <c r="J16" s="10">
        <f>3.68+0.422</f>
        <v>4.1020000000000003</v>
      </c>
      <c r="K16" s="130">
        <f t="shared" si="1"/>
        <v>4.1020000000000003</v>
      </c>
    </row>
    <row r="17" spans="1:11" s="74" customFormat="1" ht="36" customHeight="1" x14ac:dyDescent="0.25">
      <c r="A17" s="140">
        <v>7</v>
      </c>
      <c r="B17" s="49" t="s">
        <v>2051</v>
      </c>
      <c r="C17" s="15" t="s">
        <v>38</v>
      </c>
      <c r="D17" s="7" t="s">
        <v>32</v>
      </c>
      <c r="E17" s="14" t="s">
        <v>1030</v>
      </c>
      <c r="F17" s="13" t="s">
        <v>1051</v>
      </c>
      <c r="G17" s="13">
        <v>3.5</v>
      </c>
      <c r="H17" s="10">
        <v>0</v>
      </c>
      <c r="I17" s="10">
        <v>0</v>
      </c>
      <c r="J17" s="10">
        <v>7.375</v>
      </c>
      <c r="K17" s="130">
        <f t="shared" si="1"/>
        <v>7.375</v>
      </c>
    </row>
    <row r="18" spans="1:11" s="74" customFormat="1" ht="33" customHeight="1" x14ac:dyDescent="0.25">
      <c r="A18" s="140">
        <v>8</v>
      </c>
      <c r="B18" s="49" t="s">
        <v>2052</v>
      </c>
      <c r="C18" s="15" t="s">
        <v>38</v>
      </c>
      <c r="D18" s="7" t="s">
        <v>30</v>
      </c>
      <c r="E18" s="14" t="s">
        <v>1030</v>
      </c>
      <c r="F18" s="13" t="s">
        <v>1051</v>
      </c>
      <c r="G18" s="13">
        <v>3.5</v>
      </c>
      <c r="H18" s="10">
        <v>0</v>
      </c>
      <c r="I18" s="10">
        <v>0</v>
      </c>
      <c r="J18" s="10">
        <v>20.95</v>
      </c>
      <c r="K18" s="130">
        <f t="shared" si="1"/>
        <v>20.95</v>
      </c>
    </row>
    <row r="19" spans="1:11" s="74" customFormat="1" ht="24.6" customHeight="1" x14ac:dyDescent="0.25">
      <c r="A19" s="140">
        <v>9</v>
      </c>
      <c r="B19" s="49" t="s">
        <v>2053</v>
      </c>
      <c r="C19" s="15" t="s">
        <v>39</v>
      </c>
      <c r="D19" s="7" t="s">
        <v>33</v>
      </c>
      <c r="E19" s="14" t="s">
        <v>1030</v>
      </c>
      <c r="F19" s="13" t="s">
        <v>1051</v>
      </c>
      <c r="G19" s="13">
        <v>4</v>
      </c>
      <c r="H19" s="10">
        <f>0.799+0.071</f>
        <v>0.87</v>
      </c>
      <c r="I19" s="10">
        <v>0.79900000000000004</v>
      </c>
      <c r="J19" s="10">
        <v>0</v>
      </c>
      <c r="K19" s="130">
        <f t="shared" si="1"/>
        <v>0.87</v>
      </c>
    </row>
    <row r="20" spans="1:11" s="74" customFormat="1" ht="32.450000000000003" customHeight="1" x14ac:dyDescent="0.25">
      <c r="A20" s="140">
        <v>10</v>
      </c>
      <c r="B20" s="49" t="s">
        <v>2054</v>
      </c>
      <c r="C20" s="15" t="s">
        <v>39</v>
      </c>
      <c r="D20" s="7" t="s">
        <v>35</v>
      </c>
      <c r="E20" s="14" t="s">
        <v>1030</v>
      </c>
      <c r="F20" s="13" t="s">
        <v>1051</v>
      </c>
      <c r="G20" s="13">
        <v>4</v>
      </c>
      <c r="H20" s="10">
        <v>0.75</v>
      </c>
      <c r="I20" s="10">
        <v>0.75</v>
      </c>
      <c r="J20" s="10">
        <f>0.53+0.36+0.1</f>
        <v>0.99</v>
      </c>
      <c r="K20" s="130">
        <f t="shared" si="1"/>
        <v>1.74</v>
      </c>
    </row>
    <row r="21" spans="1:11" s="74" customFormat="1" ht="30" x14ac:dyDescent="0.25">
      <c r="A21" s="140">
        <v>11</v>
      </c>
      <c r="B21" s="49" t="s">
        <v>2055</v>
      </c>
      <c r="C21" s="15" t="s">
        <v>39</v>
      </c>
      <c r="D21" s="7" t="s">
        <v>34</v>
      </c>
      <c r="E21" s="14" t="s">
        <v>1030</v>
      </c>
      <c r="F21" s="13" t="s">
        <v>1051</v>
      </c>
      <c r="G21" s="13">
        <v>4</v>
      </c>
      <c r="H21" s="10">
        <v>0.35</v>
      </c>
      <c r="I21" s="10">
        <v>0.35</v>
      </c>
      <c r="J21" s="10">
        <f>0.25+0.28</f>
        <v>0.53</v>
      </c>
      <c r="K21" s="130">
        <f t="shared" si="1"/>
        <v>0.88</v>
      </c>
    </row>
    <row r="22" spans="1:11" s="74" customFormat="1" ht="47.25" x14ac:dyDescent="0.25">
      <c r="A22" s="140">
        <v>12</v>
      </c>
      <c r="B22" s="49" t="s">
        <v>2056</v>
      </c>
      <c r="C22" s="15" t="s">
        <v>38</v>
      </c>
      <c r="D22" s="7" t="s">
        <v>36</v>
      </c>
      <c r="E22" s="14" t="s">
        <v>1030</v>
      </c>
      <c r="F22" s="13" t="s">
        <v>1051</v>
      </c>
      <c r="G22" s="13">
        <v>3.5</v>
      </c>
      <c r="H22" s="10">
        <v>0</v>
      </c>
      <c r="I22" s="10">
        <v>0</v>
      </c>
      <c r="J22" s="10">
        <v>0.2</v>
      </c>
      <c r="K22" s="130">
        <f t="shared" si="1"/>
        <v>0.2</v>
      </c>
    </row>
    <row r="23" spans="1:11" s="74" customFormat="1" ht="31.5" x14ac:dyDescent="0.25">
      <c r="A23" s="140">
        <v>13</v>
      </c>
      <c r="B23" s="49" t="s">
        <v>2057</v>
      </c>
      <c r="C23" s="15" t="s">
        <v>38</v>
      </c>
      <c r="D23" s="7" t="s">
        <v>37</v>
      </c>
      <c r="E23" s="14" t="s">
        <v>1030</v>
      </c>
      <c r="F23" s="13" t="s">
        <v>1051</v>
      </c>
      <c r="G23" s="13">
        <v>3.5</v>
      </c>
      <c r="H23" s="10">
        <v>0</v>
      </c>
      <c r="I23" s="10">
        <v>0</v>
      </c>
      <c r="J23" s="10">
        <v>0.27</v>
      </c>
      <c r="K23" s="130">
        <f t="shared" si="1"/>
        <v>0.27</v>
      </c>
    </row>
    <row r="24" spans="1:11" s="74" customFormat="1" ht="30" x14ac:dyDescent="0.25">
      <c r="A24" s="140">
        <v>14</v>
      </c>
      <c r="B24" s="49" t="s">
        <v>2058</v>
      </c>
      <c r="C24" s="15" t="s">
        <v>39</v>
      </c>
      <c r="D24" s="7" t="s">
        <v>40</v>
      </c>
      <c r="E24" s="14" t="s">
        <v>1030</v>
      </c>
      <c r="F24" s="13" t="s">
        <v>1051</v>
      </c>
      <c r="G24" s="13">
        <v>4</v>
      </c>
      <c r="H24" s="10">
        <v>0.5</v>
      </c>
      <c r="I24" s="10">
        <v>0.5</v>
      </c>
      <c r="J24" s="10">
        <v>0</v>
      </c>
      <c r="K24" s="130">
        <f t="shared" si="1"/>
        <v>0.5</v>
      </c>
    </row>
    <row r="25" spans="1:11" s="74" customFormat="1" ht="31.5" x14ac:dyDescent="0.25">
      <c r="A25" s="140">
        <v>15</v>
      </c>
      <c r="B25" s="49" t="s">
        <v>2059</v>
      </c>
      <c r="C25" s="15" t="s">
        <v>38</v>
      </c>
      <c r="D25" s="7" t="s">
        <v>41</v>
      </c>
      <c r="E25" s="14" t="s">
        <v>1030</v>
      </c>
      <c r="F25" s="13" t="s">
        <v>1051</v>
      </c>
      <c r="G25" s="13">
        <v>4</v>
      </c>
      <c r="H25" s="10">
        <v>0</v>
      </c>
      <c r="I25" s="10">
        <v>0</v>
      </c>
      <c r="J25" s="10">
        <v>0.18</v>
      </c>
      <c r="K25" s="130">
        <f t="shared" si="1"/>
        <v>0.18</v>
      </c>
    </row>
    <row r="26" spans="1:11" s="74" customFormat="1" ht="31.5" x14ac:dyDescent="0.25">
      <c r="A26" s="140">
        <v>16</v>
      </c>
      <c r="B26" s="49" t="s">
        <v>2060</v>
      </c>
      <c r="C26" s="15" t="s">
        <v>38</v>
      </c>
      <c r="D26" s="7" t="s">
        <v>42</v>
      </c>
      <c r="E26" s="14" t="s">
        <v>1030</v>
      </c>
      <c r="F26" s="13" t="s">
        <v>1051</v>
      </c>
      <c r="G26" s="13">
        <v>4</v>
      </c>
      <c r="H26" s="10">
        <v>0</v>
      </c>
      <c r="I26" s="10">
        <v>0</v>
      </c>
      <c r="J26" s="10">
        <v>0.15</v>
      </c>
      <c r="K26" s="130">
        <f t="shared" si="1"/>
        <v>0.15</v>
      </c>
    </row>
    <row r="27" spans="1:11" s="74" customFormat="1" ht="30" x14ac:dyDescent="0.25">
      <c r="A27" s="140">
        <v>17</v>
      </c>
      <c r="B27" s="49" t="s">
        <v>2061</v>
      </c>
      <c r="C27" s="15" t="s">
        <v>39</v>
      </c>
      <c r="D27" s="7" t="s">
        <v>43</v>
      </c>
      <c r="E27" s="14" t="s">
        <v>1030</v>
      </c>
      <c r="F27" s="13" t="s">
        <v>1051</v>
      </c>
      <c r="G27" s="13">
        <v>4</v>
      </c>
      <c r="H27" s="10">
        <v>0.23</v>
      </c>
      <c r="I27" s="10">
        <v>0.23</v>
      </c>
      <c r="J27" s="10">
        <v>0.17</v>
      </c>
      <c r="K27" s="130">
        <f t="shared" si="1"/>
        <v>0.4</v>
      </c>
    </row>
    <row r="28" spans="1:11" s="74" customFormat="1" ht="31.5" x14ac:dyDescent="0.25">
      <c r="A28" s="140">
        <v>18</v>
      </c>
      <c r="B28" s="49" t="s">
        <v>2062</v>
      </c>
      <c r="C28" s="15" t="s">
        <v>38</v>
      </c>
      <c r="D28" s="7" t="s">
        <v>44</v>
      </c>
      <c r="E28" s="14" t="s">
        <v>1030</v>
      </c>
      <c r="F28" s="13" t="s">
        <v>1051</v>
      </c>
      <c r="G28" s="13">
        <v>4</v>
      </c>
      <c r="H28" s="10">
        <v>0.11600000000000001</v>
      </c>
      <c r="I28" s="10">
        <v>0</v>
      </c>
      <c r="J28" s="10">
        <v>0.23400000000000001</v>
      </c>
      <c r="K28" s="130">
        <f t="shared" si="1"/>
        <v>0.35000000000000003</v>
      </c>
    </row>
    <row r="29" spans="1:11" s="74" customFormat="1" ht="30" x14ac:dyDescent="0.25">
      <c r="A29" s="140">
        <v>19</v>
      </c>
      <c r="B29" s="49" t="s">
        <v>2063</v>
      </c>
      <c r="C29" s="15" t="s">
        <v>39</v>
      </c>
      <c r="D29" s="7" t="s">
        <v>45</v>
      </c>
      <c r="E29" s="14" t="s">
        <v>1030</v>
      </c>
      <c r="F29" s="13" t="s">
        <v>1051</v>
      </c>
      <c r="G29" s="13">
        <v>4</v>
      </c>
      <c r="H29" s="10">
        <v>0.15</v>
      </c>
      <c r="I29" s="10">
        <v>0.15</v>
      </c>
      <c r="J29" s="10">
        <v>0</v>
      </c>
      <c r="K29" s="130">
        <f t="shared" si="1"/>
        <v>0.15</v>
      </c>
    </row>
    <row r="30" spans="1:11" s="74" customFormat="1" ht="30" x14ac:dyDescent="0.25">
      <c r="A30" s="140">
        <v>20</v>
      </c>
      <c r="B30" s="49" t="s">
        <v>2064</v>
      </c>
      <c r="C30" s="15" t="s">
        <v>39</v>
      </c>
      <c r="D30" s="7" t="s">
        <v>46</v>
      </c>
      <c r="E30" s="14" t="s">
        <v>1030</v>
      </c>
      <c r="F30" s="13" t="s">
        <v>1114</v>
      </c>
      <c r="G30" s="13">
        <v>6</v>
      </c>
      <c r="H30" s="10">
        <v>0.45</v>
      </c>
      <c r="I30" s="10">
        <v>0.45</v>
      </c>
      <c r="J30" s="10">
        <v>0</v>
      </c>
      <c r="K30" s="130">
        <f t="shared" si="1"/>
        <v>0.45</v>
      </c>
    </row>
    <row r="31" spans="1:11" s="74" customFormat="1" ht="31.5" x14ac:dyDescent="0.25">
      <c r="A31" s="140">
        <v>21</v>
      </c>
      <c r="B31" s="49" t="s">
        <v>2065</v>
      </c>
      <c r="C31" s="15" t="s">
        <v>38</v>
      </c>
      <c r="D31" s="7" t="s">
        <v>47</v>
      </c>
      <c r="E31" s="14" t="s">
        <v>1030</v>
      </c>
      <c r="F31" s="13" t="s">
        <v>1051</v>
      </c>
      <c r="G31" s="13">
        <v>3.5</v>
      </c>
      <c r="H31" s="10">
        <v>1.089</v>
      </c>
      <c r="I31" s="10">
        <v>1.089</v>
      </c>
      <c r="J31" s="10">
        <v>0.61699999999999999</v>
      </c>
      <c r="K31" s="130">
        <f t="shared" si="1"/>
        <v>1.706</v>
      </c>
    </row>
    <row r="32" spans="1:11" s="74" customFormat="1" ht="30" x14ac:dyDescent="0.25">
      <c r="A32" s="140">
        <v>22</v>
      </c>
      <c r="B32" s="49" t="s">
        <v>2066</v>
      </c>
      <c r="C32" s="15" t="s">
        <v>39</v>
      </c>
      <c r="D32" s="7" t="s">
        <v>48</v>
      </c>
      <c r="E32" s="14" t="s">
        <v>1030</v>
      </c>
      <c r="F32" s="13" t="s">
        <v>1114</v>
      </c>
      <c r="G32" s="13">
        <v>6</v>
      </c>
      <c r="H32" s="10">
        <v>0.16</v>
      </c>
      <c r="I32" s="10">
        <v>0.16</v>
      </c>
      <c r="J32" s="10">
        <v>0</v>
      </c>
      <c r="K32" s="130">
        <f t="shared" si="1"/>
        <v>0.16</v>
      </c>
    </row>
    <row r="33" spans="1:11" s="74" customFormat="1" ht="30" x14ac:dyDescent="0.25">
      <c r="A33" s="140">
        <v>23</v>
      </c>
      <c r="B33" s="49" t="s">
        <v>2067</v>
      </c>
      <c r="C33" s="15" t="s">
        <v>39</v>
      </c>
      <c r="D33" s="7" t="s">
        <v>49</v>
      </c>
      <c r="E33" s="14" t="s">
        <v>1030</v>
      </c>
      <c r="F33" s="13" t="s">
        <v>1051</v>
      </c>
      <c r="G33" s="13">
        <v>4</v>
      </c>
      <c r="H33" s="10">
        <v>0.13</v>
      </c>
      <c r="I33" s="10">
        <v>0.13</v>
      </c>
      <c r="J33" s="10">
        <v>0</v>
      </c>
      <c r="K33" s="130">
        <f t="shared" si="1"/>
        <v>0.13</v>
      </c>
    </row>
    <row r="34" spans="1:11" s="74" customFormat="1" ht="30" x14ac:dyDescent="0.25">
      <c r="A34" s="140">
        <v>24</v>
      </c>
      <c r="B34" s="49" t="s">
        <v>2068</v>
      </c>
      <c r="C34" s="15" t="s">
        <v>38</v>
      </c>
      <c r="D34" s="7" t="s">
        <v>50</v>
      </c>
      <c r="E34" s="14" t="s">
        <v>1030</v>
      </c>
      <c r="F34" s="13" t="s">
        <v>1051</v>
      </c>
      <c r="G34" s="13">
        <v>4</v>
      </c>
      <c r="H34" s="10">
        <v>0.16</v>
      </c>
      <c r="I34" s="10">
        <v>0.16</v>
      </c>
      <c r="J34" s="10">
        <v>0</v>
      </c>
      <c r="K34" s="130">
        <f t="shared" si="1"/>
        <v>0.16</v>
      </c>
    </row>
    <row r="35" spans="1:11" s="74" customFormat="1" ht="30" x14ac:dyDescent="0.25">
      <c r="A35" s="140">
        <v>25</v>
      </c>
      <c r="B35" s="49" t="s">
        <v>2069</v>
      </c>
      <c r="C35" s="15" t="s">
        <v>39</v>
      </c>
      <c r="D35" s="7" t="s">
        <v>51</v>
      </c>
      <c r="E35" s="14" t="s">
        <v>1030</v>
      </c>
      <c r="F35" s="13" t="s">
        <v>1114</v>
      </c>
      <c r="G35" s="13">
        <v>6</v>
      </c>
      <c r="H35" s="10">
        <v>0.22</v>
      </c>
      <c r="I35" s="10">
        <v>0.22</v>
      </c>
      <c r="J35" s="10">
        <v>0</v>
      </c>
      <c r="K35" s="130">
        <f t="shared" si="1"/>
        <v>0.22</v>
      </c>
    </row>
    <row r="36" spans="1:11" s="74" customFormat="1" ht="31.5" x14ac:dyDescent="0.25">
      <c r="A36" s="140">
        <v>26</v>
      </c>
      <c r="B36" s="49" t="s">
        <v>2070</v>
      </c>
      <c r="C36" s="15" t="s">
        <v>38</v>
      </c>
      <c r="D36" s="7" t="s">
        <v>52</v>
      </c>
      <c r="E36" s="14" t="s">
        <v>1030</v>
      </c>
      <c r="F36" s="13" t="s">
        <v>1051</v>
      </c>
      <c r="G36" s="13">
        <v>3.5</v>
      </c>
      <c r="H36" s="10">
        <v>0.192</v>
      </c>
      <c r="I36" s="10">
        <v>0.192</v>
      </c>
      <c r="J36" s="10">
        <v>0</v>
      </c>
      <c r="K36" s="130">
        <f t="shared" si="1"/>
        <v>0.192</v>
      </c>
    </row>
    <row r="37" spans="1:11" s="74" customFormat="1" ht="30" x14ac:dyDescent="0.25">
      <c r="A37" s="140">
        <v>27</v>
      </c>
      <c r="B37" s="49" t="s">
        <v>2071</v>
      </c>
      <c r="C37" s="15" t="s">
        <v>39</v>
      </c>
      <c r="D37" s="7" t="s">
        <v>53</v>
      </c>
      <c r="E37" s="14" t="s">
        <v>1030</v>
      </c>
      <c r="F37" s="13" t="s">
        <v>1051</v>
      </c>
      <c r="G37" s="13">
        <v>4.5</v>
      </c>
      <c r="H37" s="10">
        <v>0.18</v>
      </c>
      <c r="I37" s="10">
        <v>0.18</v>
      </c>
      <c r="J37" s="10">
        <v>0</v>
      </c>
      <c r="K37" s="130">
        <f t="shared" si="1"/>
        <v>0.18</v>
      </c>
    </row>
    <row r="38" spans="1:11" s="74" customFormat="1" ht="30" x14ac:dyDescent="0.25">
      <c r="A38" s="140">
        <v>28</v>
      </c>
      <c r="B38" s="49" t="s">
        <v>2072</v>
      </c>
      <c r="C38" s="15" t="s">
        <v>39</v>
      </c>
      <c r="D38" s="7" t="s">
        <v>54</v>
      </c>
      <c r="E38" s="14" t="s">
        <v>1030</v>
      </c>
      <c r="F38" s="13" t="s">
        <v>1114</v>
      </c>
      <c r="G38" s="13">
        <v>6</v>
      </c>
      <c r="H38" s="10">
        <v>0.46</v>
      </c>
      <c r="I38" s="10">
        <v>0.46</v>
      </c>
      <c r="J38" s="10">
        <v>0</v>
      </c>
      <c r="K38" s="130">
        <f t="shared" si="1"/>
        <v>0.46</v>
      </c>
    </row>
    <row r="39" spans="1:11" s="74" customFormat="1" ht="28.9" customHeight="1" x14ac:dyDescent="0.25">
      <c r="A39" s="140">
        <v>29</v>
      </c>
      <c r="B39" s="49" t="s">
        <v>2073</v>
      </c>
      <c r="C39" s="15" t="s">
        <v>39</v>
      </c>
      <c r="D39" s="7" t="s">
        <v>55</v>
      </c>
      <c r="E39" s="14" t="s">
        <v>1030</v>
      </c>
      <c r="F39" s="13" t="s">
        <v>1114</v>
      </c>
      <c r="G39" s="13">
        <v>6</v>
      </c>
      <c r="H39" s="10">
        <v>0.55000000000000004</v>
      </c>
      <c r="I39" s="10">
        <v>0.55000000000000004</v>
      </c>
      <c r="J39" s="10">
        <v>0</v>
      </c>
      <c r="K39" s="130">
        <f t="shared" si="1"/>
        <v>0.55000000000000004</v>
      </c>
    </row>
    <row r="40" spans="1:11" s="74" customFormat="1" ht="31.5" x14ac:dyDescent="0.25">
      <c r="A40" s="140">
        <v>30</v>
      </c>
      <c r="B40" s="49" t="s">
        <v>2074</v>
      </c>
      <c r="C40" s="15" t="s">
        <v>38</v>
      </c>
      <c r="D40" s="7" t="s">
        <v>56</v>
      </c>
      <c r="E40" s="14" t="s">
        <v>1030</v>
      </c>
      <c r="F40" s="13" t="s">
        <v>1051</v>
      </c>
      <c r="G40" s="13">
        <v>3.5</v>
      </c>
      <c r="H40" s="10">
        <v>0.2</v>
      </c>
      <c r="I40" s="10">
        <v>0</v>
      </c>
      <c r="J40" s="10">
        <v>0</v>
      </c>
      <c r="K40" s="130">
        <f t="shared" si="1"/>
        <v>0.2</v>
      </c>
    </row>
    <row r="41" spans="1:11" s="74" customFormat="1" ht="30" x14ac:dyDescent="0.25">
      <c r="A41" s="140">
        <v>31</v>
      </c>
      <c r="B41" s="49" t="s">
        <v>2075</v>
      </c>
      <c r="C41" s="15" t="s">
        <v>38</v>
      </c>
      <c r="D41" s="7" t="s">
        <v>57</v>
      </c>
      <c r="E41" s="14" t="s">
        <v>1030</v>
      </c>
      <c r="F41" s="13" t="s">
        <v>1114</v>
      </c>
      <c r="G41" s="13">
        <v>6</v>
      </c>
      <c r="H41" s="10">
        <v>1.036</v>
      </c>
      <c r="I41" s="10">
        <v>1.036</v>
      </c>
      <c r="J41" s="10">
        <v>0</v>
      </c>
      <c r="K41" s="130">
        <f t="shared" si="1"/>
        <v>1.036</v>
      </c>
    </row>
    <row r="42" spans="1:11" s="74" customFormat="1" ht="30" x14ac:dyDescent="0.25">
      <c r="A42" s="140">
        <v>32</v>
      </c>
      <c r="B42" s="49" t="s">
        <v>2076</v>
      </c>
      <c r="C42" s="15" t="s">
        <v>39</v>
      </c>
      <c r="D42" s="7" t="s">
        <v>58</v>
      </c>
      <c r="E42" s="14" t="s">
        <v>1030</v>
      </c>
      <c r="F42" s="13" t="s">
        <v>1114</v>
      </c>
      <c r="G42" s="13">
        <v>6</v>
      </c>
      <c r="H42" s="10">
        <v>0.65</v>
      </c>
      <c r="I42" s="10">
        <v>0.65</v>
      </c>
      <c r="J42" s="10">
        <f>0.6+0.53</f>
        <v>1.1299999999999999</v>
      </c>
      <c r="K42" s="130">
        <f t="shared" si="1"/>
        <v>1.7799999999999998</v>
      </c>
    </row>
    <row r="43" spans="1:11" s="74" customFormat="1" ht="30" x14ac:dyDescent="0.25">
      <c r="A43" s="140">
        <v>33</v>
      </c>
      <c r="B43" s="49" t="s">
        <v>2077</v>
      </c>
      <c r="C43" s="15" t="s">
        <v>39</v>
      </c>
      <c r="D43" s="7" t="s">
        <v>59</v>
      </c>
      <c r="E43" s="14" t="s">
        <v>1030</v>
      </c>
      <c r="F43" s="13" t="s">
        <v>1051</v>
      </c>
      <c r="G43" s="13">
        <v>5</v>
      </c>
      <c r="H43" s="10">
        <v>0.56000000000000005</v>
      </c>
      <c r="I43" s="10">
        <v>0.56000000000000005</v>
      </c>
      <c r="J43" s="10">
        <v>0</v>
      </c>
      <c r="K43" s="130">
        <f t="shared" si="1"/>
        <v>0.56000000000000005</v>
      </c>
    </row>
    <row r="44" spans="1:11" s="74" customFormat="1" ht="30" x14ac:dyDescent="0.25">
      <c r="A44" s="140">
        <v>34</v>
      </c>
      <c r="B44" s="49" t="s">
        <v>2078</v>
      </c>
      <c r="C44" s="15" t="s">
        <v>39</v>
      </c>
      <c r="D44" s="7" t="s">
        <v>60</v>
      </c>
      <c r="E44" s="14" t="s">
        <v>1030</v>
      </c>
      <c r="F44" s="13" t="s">
        <v>1051</v>
      </c>
      <c r="G44" s="13">
        <v>4</v>
      </c>
      <c r="H44" s="10">
        <v>0.23</v>
      </c>
      <c r="I44" s="10">
        <v>0.23</v>
      </c>
      <c r="J44" s="10">
        <v>0.25</v>
      </c>
      <c r="K44" s="130">
        <f t="shared" si="1"/>
        <v>0.48</v>
      </c>
    </row>
    <row r="45" spans="1:11" s="74" customFormat="1" ht="30" x14ac:dyDescent="0.25">
      <c r="A45" s="140">
        <v>35</v>
      </c>
      <c r="B45" s="49" t="s">
        <v>2079</v>
      </c>
      <c r="C45" s="15" t="s">
        <v>39</v>
      </c>
      <c r="D45" s="7" t="s">
        <v>61</v>
      </c>
      <c r="E45" s="14" t="s">
        <v>1030</v>
      </c>
      <c r="F45" s="13" t="s">
        <v>1051</v>
      </c>
      <c r="G45" s="13">
        <v>4</v>
      </c>
      <c r="H45" s="10">
        <v>0.2</v>
      </c>
      <c r="I45" s="10">
        <v>0.2</v>
      </c>
      <c r="J45" s="10">
        <v>0</v>
      </c>
      <c r="K45" s="130">
        <f t="shared" si="1"/>
        <v>0.2</v>
      </c>
    </row>
    <row r="46" spans="1:11" s="74" customFormat="1" ht="30" x14ac:dyDescent="0.25">
      <c r="A46" s="140">
        <v>36</v>
      </c>
      <c r="B46" s="49" t="s">
        <v>2080</v>
      </c>
      <c r="C46" s="15" t="s">
        <v>38</v>
      </c>
      <c r="D46" s="7" t="s">
        <v>62</v>
      </c>
      <c r="E46" s="14" t="s">
        <v>1030</v>
      </c>
      <c r="F46" s="13" t="s">
        <v>1051</v>
      </c>
      <c r="G46" s="13">
        <v>3.5</v>
      </c>
      <c r="H46" s="10">
        <v>0</v>
      </c>
      <c r="I46" s="10">
        <v>0</v>
      </c>
      <c r="J46" s="10">
        <v>2.395</v>
      </c>
      <c r="K46" s="130">
        <f t="shared" si="1"/>
        <v>2.395</v>
      </c>
    </row>
    <row r="47" spans="1:11" s="74" customFormat="1" ht="31.5" x14ac:dyDescent="0.25">
      <c r="A47" s="140">
        <v>37</v>
      </c>
      <c r="B47" s="49" t="s">
        <v>2081</v>
      </c>
      <c r="C47" s="15" t="s">
        <v>38</v>
      </c>
      <c r="D47" s="7" t="s">
        <v>63</v>
      </c>
      <c r="E47" s="14" t="s">
        <v>1030</v>
      </c>
      <c r="F47" s="13" t="s">
        <v>1051</v>
      </c>
      <c r="G47" s="13">
        <v>3.5</v>
      </c>
      <c r="H47" s="10">
        <v>0</v>
      </c>
      <c r="I47" s="10">
        <v>0</v>
      </c>
      <c r="J47" s="10">
        <v>0.5</v>
      </c>
      <c r="K47" s="130">
        <f t="shared" si="1"/>
        <v>0.5</v>
      </c>
    </row>
    <row r="48" spans="1:11" s="74" customFormat="1" ht="31.5" x14ac:dyDescent="0.25">
      <c r="A48" s="140">
        <v>38</v>
      </c>
      <c r="B48" s="49" t="s">
        <v>2082</v>
      </c>
      <c r="C48" s="15" t="s">
        <v>38</v>
      </c>
      <c r="D48" s="7" t="s">
        <v>64</v>
      </c>
      <c r="E48" s="14" t="s">
        <v>1030</v>
      </c>
      <c r="F48" s="13" t="s">
        <v>1051</v>
      </c>
      <c r="G48" s="13">
        <v>3.5</v>
      </c>
      <c r="H48" s="10">
        <v>0</v>
      </c>
      <c r="I48" s="10">
        <v>0</v>
      </c>
      <c r="J48" s="10">
        <v>0.38300000000000001</v>
      </c>
      <c r="K48" s="130">
        <f t="shared" ref="K48:K78" si="2">H48+J48</f>
        <v>0.38300000000000001</v>
      </c>
    </row>
    <row r="49" spans="1:11" s="74" customFormat="1" ht="31.5" x14ac:dyDescent="0.25">
      <c r="A49" s="140">
        <v>39</v>
      </c>
      <c r="B49" s="49" t="s">
        <v>2083</v>
      </c>
      <c r="C49" s="15" t="s">
        <v>38</v>
      </c>
      <c r="D49" s="7" t="s">
        <v>65</v>
      </c>
      <c r="E49" s="14" t="s">
        <v>1030</v>
      </c>
      <c r="F49" s="13" t="s">
        <v>1051</v>
      </c>
      <c r="G49" s="13">
        <v>3.5</v>
      </c>
      <c r="H49" s="10">
        <v>0</v>
      </c>
      <c r="I49" s="10">
        <v>0</v>
      </c>
      <c r="J49" s="10">
        <v>1.1779999999999999</v>
      </c>
      <c r="K49" s="130">
        <f t="shared" si="2"/>
        <v>1.1779999999999999</v>
      </c>
    </row>
    <row r="50" spans="1:11" s="74" customFormat="1" ht="31.5" x14ac:dyDescent="0.25">
      <c r="A50" s="140">
        <v>40</v>
      </c>
      <c r="B50" s="49" t="s">
        <v>2084</v>
      </c>
      <c r="C50" s="15" t="s">
        <v>38</v>
      </c>
      <c r="D50" s="7" t="s">
        <v>66</v>
      </c>
      <c r="E50" s="14" t="s">
        <v>1030</v>
      </c>
      <c r="F50" s="13" t="s">
        <v>1051</v>
      </c>
      <c r="G50" s="13">
        <v>3.5</v>
      </c>
      <c r="H50" s="10">
        <v>0</v>
      </c>
      <c r="I50" s="10">
        <v>0</v>
      </c>
      <c r="J50" s="10">
        <v>0.67200000000000004</v>
      </c>
      <c r="K50" s="130">
        <f t="shared" si="2"/>
        <v>0.67200000000000004</v>
      </c>
    </row>
    <row r="51" spans="1:11" s="74" customFormat="1" ht="31.5" x14ac:dyDescent="0.25">
      <c r="A51" s="140">
        <v>41</v>
      </c>
      <c r="B51" s="49" t="s">
        <v>2085</v>
      </c>
      <c r="C51" s="15" t="s">
        <v>38</v>
      </c>
      <c r="D51" s="7" t="s">
        <v>67</v>
      </c>
      <c r="E51" s="14" t="s">
        <v>1030</v>
      </c>
      <c r="F51" s="13" t="s">
        <v>1051</v>
      </c>
      <c r="G51" s="13">
        <v>3.5</v>
      </c>
      <c r="H51" s="10">
        <v>0</v>
      </c>
      <c r="I51" s="10">
        <v>0</v>
      </c>
      <c r="J51" s="10">
        <v>1.07</v>
      </c>
      <c r="K51" s="130">
        <f t="shared" si="2"/>
        <v>1.07</v>
      </c>
    </row>
    <row r="52" spans="1:11" s="74" customFormat="1" ht="28.9" customHeight="1" x14ac:dyDescent="0.25">
      <c r="A52" s="140">
        <v>42</v>
      </c>
      <c r="B52" s="49" t="s">
        <v>2086</v>
      </c>
      <c r="C52" s="15" t="s">
        <v>38</v>
      </c>
      <c r="D52" s="7" t="s">
        <v>68</v>
      </c>
      <c r="E52" s="14" t="s">
        <v>1030</v>
      </c>
      <c r="F52" s="13" t="s">
        <v>1051</v>
      </c>
      <c r="G52" s="13">
        <v>4.5</v>
      </c>
      <c r="H52" s="10">
        <v>0.85299999999999998</v>
      </c>
      <c r="I52" s="10">
        <v>0.85299999999999998</v>
      </c>
      <c r="J52" s="10">
        <v>0</v>
      </c>
      <c r="K52" s="130">
        <f t="shared" si="2"/>
        <v>0.85299999999999998</v>
      </c>
    </row>
    <row r="53" spans="1:11" s="74" customFormat="1" ht="31.5" x14ac:dyDescent="0.25">
      <c r="A53" s="140">
        <v>43</v>
      </c>
      <c r="B53" s="49" t="s">
        <v>2087</v>
      </c>
      <c r="C53" s="15" t="s">
        <v>38</v>
      </c>
      <c r="D53" s="7" t="s">
        <v>3345</v>
      </c>
      <c r="E53" s="14" t="s">
        <v>1030</v>
      </c>
      <c r="F53" s="13" t="s">
        <v>1051</v>
      </c>
      <c r="G53" s="13">
        <v>3.5</v>
      </c>
      <c r="H53" s="10">
        <v>1</v>
      </c>
      <c r="I53" s="10">
        <v>0</v>
      </c>
      <c r="J53" s="10">
        <v>0</v>
      </c>
      <c r="K53" s="130">
        <f t="shared" si="2"/>
        <v>1</v>
      </c>
    </row>
    <row r="54" spans="1:11" s="74" customFormat="1" ht="31.5" x14ac:dyDescent="0.25">
      <c r="A54" s="140">
        <v>44</v>
      </c>
      <c r="B54" s="49" t="s">
        <v>2088</v>
      </c>
      <c r="C54" s="15" t="s">
        <v>38</v>
      </c>
      <c r="D54" s="7" t="s">
        <v>69</v>
      </c>
      <c r="E54" s="14" t="s">
        <v>1030</v>
      </c>
      <c r="F54" s="13" t="s">
        <v>1051</v>
      </c>
      <c r="G54" s="13">
        <v>3.5</v>
      </c>
      <c r="H54" s="10">
        <v>0</v>
      </c>
      <c r="I54" s="10">
        <v>0</v>
      </c>
      <c r="J54" s="10">
        <v>1.86</v>
      </c>
      <c r="K54" s="130">
        <f t="shared" si="2"/>
        <v>1.86</v>
      </c>
    </row>
    <row r="55" spans="1:11" s="74" customFormat="1" ht="31.5" x14ac:dyDescent="0.25">
      <c r="A55" s="140">
        <v>45</v>
      </c>
      <c r="B55" s="49" t="s">
        <v>2089</v>
      </c>
      <c r="C55" s="15" t="s">
        <v>38</v>
      </c>
      <c r="D55" s="7" t="s">
        <v>70</v>
      </c>
      <c r="E55" s="14" t="s">
        <v>1030</v>
      </c>
      <c r="F55" s="13" t="s">
        <v>1051</v>
      </c>
      <c r="G55" s="13">
        <v>3.5</v>
      </c>
      <c r="H55" s="10">
        <v>0</v>
      </c>
      <c r="I55" s="10">
        <v>0</v>
      </c>
      <c r="J55" s="10">
        <v>0.78</v>
      </c>
      <c r="K55" s="130">
        <f t="shared" si="2"/>
        <v>0.78</v>
      </c>
    </row>
    <row r="56" spans="1:11" s="74" customFormat="1" ht="31.5" x14ac:dyDescent="0.25">
      <c r="A56" s="140">
        <v>46</v>
      </c>
      <c r="B56" s="49" t="s">
        <v>2090</v>
      </c>
      <c r="C56" s="15" t="s">
        <v>38</v>
      </c>
      <c r="D56" s="7" t="s">
        <v>71</v>
      </c>
      <c r="E56" s="14" t="s">
        <v>1030</v>
      </c>
      <c r="F56" s="13" t="s">
        <v>1051</v>
      </c>
      <c r="G56" s="13">
        <v>3.5</v>
      </c>
      <c r="H56" s="10">
        <v>0</v>
      </c>
      <c r="I56" s="10">
        <v>0</v>
      </c>
      <c r="J56" s="10">
        <v>1.66</v>
      </c>
      <c r="K56" s="130">
        <f t="shared" si="2"/>
        <v>1.66</v>
      </c>
    </row>
    <row r="57" spans="1:11" s="74" customFormat="1" ht="31.15" customHeight="1" x14ac:dyDescent="0.25">
      <c r="A57" s="140">
        <v>47</v>
      </c>
      <c r="B57" s="49" t="s">
        <v>2091</v>
      </c>
      <c r="C57" s="15" t="s">
        <v>38</v>
      </c>
      <c r="D57" s="7" t="s">
        <v>72</v>
      </c>
      <c r="E57" s="14" t="s">
        <v>1030</v>
      </c>
      <c r="F57" s="13" t="s">
        <v>1051</v>
      </c>
      <c r="G57" s="13">
        <v>3.5</v>
      </c>
      <c r="H57" s="10">
        <v>2.96</v>
      </c>
      <c r="I57" s="10">
        <v>0</v>
      </c>
      <c r="J57" s="10">
        <v>0</v>
      </c>
      <c r="K57" s="130">
        <f t="shared" si="2"/>
        <v>2.96</v>
      </c>
    </row>
    <row r="58" spans="1:11" s="74" customFormat="1" ht="47.25" x14ac:dyDescent="0.25">
      <c r="A58" s="140">
        <v>48</v>
      </c>
      <c r="B58" s="49" t="s">
        <v>2092</v>
      </c>
      <c r="C58" s="15" t="s">
        <v>38</v>
      </c>
      <c r="D58" s="7" t="s">
        <v>73</v>
      </c>
      <c r="E58" s="14" t="s">
        <v>1030</v>
      </c>
      <c r="F58" s="13" t="s">
        <v>1051</v>
      </c>
      <c r="G58" s="13">
        <v>3.5</v>
      </c>
      <c r="H58" s="10">
        <v>0</v>
      </c>
      <c r="I58" s="10">
        <v>0</v>
      </c>
      <c r="J58" s="10">
        <v>5</v>
      </c>
      <c r="K58" s="130">
        <f t="shared" si="2"/>
        <v>5</v>
      </c>
    </row>
    <row r="59" spans="1:11" s="74" customFormat="1" ht="31.5" x14ac:dyDescent="0.25">
      <c r="A59" s="140">
        <v>49</v>
      </c>
      <c r="B59" s="49" t="s">
        <v>2093</v>
      </c>
      <c r="C59" s="15" t="s">
        <v>38</v>
      </c>
      <c r="D59" s="7" t="s">
        <v>74</v>
      </c>
      <c r="E59" s="14" t="s">
        <v>1030</v>
      </c>
      <c r="F59" s="13" t="s">
        <v>1051</v>
      </c>
      <c r="G59" s="13">
        <v>3.5</v>
      </c>
      <c r="H59" s="10">
        <v>0.17199999999999999</v>
      </c>
      <c r="I59" s="10">
        <v>0.17199999999999999</v>
      </c>
      <c r="J59" s="10">
        <v>0</v>
      </c>
      <c r="K59" s="130">
        <f t="shared" si="2"/>
        <v>0.17199999999999999</v>
      </c>
    </row>
    <row r="60" spans="1:11" s="74" customFormat="1" ht="30" x14ac:dyDescent="0.25">
      <c r="A60" s="140">
        <v>50</v>
      </c>
      <c r="B60" s="49" t="s">
        <v>2094</v>
      </c>
      <c r="C60" s="15" t="s">
        <v>38</v>
      </c>
      <c r="D60" s="7" t="s">
        <v>75</v>
      </c>
      <c r="E60" s="14" t="s">
        <v>1030</v>
      </c>
      <c r="F60" s="13" t="s">
        <v>1051</v>
      </c>
      <c r="G60" s="13">
        <v>3.5</v>
      </c>
      <c r="H60" s="10">
        <v>0</v>
      </c>
      <c r="I60" s="10">
        <v>0</v>
      </c>
      <c r="J60" s="10">
        <v>0.35</v>
      </c>
      <c r="K60" s="130">
        <f t="shared" si="2"/>
        <v>0.35</v>
      </c>
    </row>
    <row r="61" spans="1:11" s="74" customFormat="1" ht="30" x14ac:dyDescent="0.25">
      <c r="A61" s="140">
        <v>51</v>
      </c>
      <c r="B61" s="49" t="s">
        <v>2095</v>
      </c>
      <c r="C61" s="15" t="s">
        <v>38</v>
      </c>
      <c r="D61" s="7" t="s">
        <v>76</v>
      </c>
      <c r="E61" s="14" t="s">
        <v>1030</v>
      </c>
      <c r="F61" s="13" t="s">
        <v>1051</v>
      </c>
      <c r="G61" s="13">
        <v>3.5</v>
      </c>
      <c r="H61" s="10">
        <v>2.2000000000000002</v>
      </c>
      <c r="I61" s="10">
        <v>0</v>
      </c>
      <c r="J61" s="10">
        <v>0</v>
      </c>
      <c r="K61" s="130">
        <f t="shared" si="2"/>
        <v>2.2000000000000002</v>
      </c>
    </row>
    <row r="62" spans="1:11" s="74" customFormat="1" ht="31.5" x14ac:dyDescent="0.25">
      <c r="A62" s="140">
        <v>52</v>
      </c>
      <c r="B62" s="49" t="s">
        <v>2096</v>
      </c>
      <c r="C62" s="15" t="s">
        <v>38</v>
      </c>
      <c r="D62" s="7" t="s">
        <v>77</v>
      </c>
      <c r="E62" s="14" t="s">
        <v>1030</v>
      </c>
      <c r="F62" s="13" t="s">
        <v>1051</v>
      </c>
      <c r="G62" s="13">
        <v>3.5</v>
      </c>
      <c r="H62" s="10">
        <v>0</v>
      </c>
      <c r="I62" s="10">
        <v>0</v>
      </c>
      <c r="J62" s="10">
        <v>5.0730000000000004</v>
      </c>
      <c r="K62" s="130">
        <f t="shared" si="2"/>
        <v>5.0730000000000004</v>
      </c>
    </row>
    <row r="63" spans="1:11" s="74" customFormat="1" ht="31.5" x14ac:dyDescent="0.25">
      <c r="A63" s="140">
        <v>53</v>
      </c>
      <c r="B63" s="49" t="s">
        <v>2097</v>
      </c>
      <c r="C63" s="15" t="s">
        <v>38</v>
      </c>
      <c r="D63" s="7" t="s">
        <v>78</v>
      </c>
      <c r="E63" s="14" t="s">
        <v>1030</v>
      </c>
      <c r="F63" s="13" t="s">
        <v>1051</v>
      </c>
      <c r="G63" s="13">
        <v>3.5</v>
      </c>
      <c r="H63" s="10">
        <v>0</v>
      </c>
      <c r="I63" s="10">
        <v>0</v>
      </c>
      <c r="J63" s="10">
        <v>1.44</v>
      </c>
      <c r="K63" s="130">
        <f t="shared" si="2"/>
        <v>1.44</v>
      </c>
    </row>
    <row r="64" spans="1:11" s="74" customFormat="1" ht="31.5" x14ac:dyDescent="0.25">
      <c r="A64" s="140">
        <v>54</v>
      </c>
      <c r="B64" s="49" t="s">
        <v>2098</v>
      </c>
      <c r="C64" s="15" t="s">
        <v>38</v>
      </c>
      <c r="D64" s="7" t="s">
        <v>79</v>
      </c>
      <c r="E64" s="14" t="s">
        <v>1030</v>
      </c>
      <c r="F64" s="13" t="s">
        <v>1051</v>
      </c>
      <c r="G64" s="13">
        <v>3.5</v>
      </c>
      <c r="H64" s="10">
        <v>0</v>
      </c>
      <c r="I64" s="10">
        <v>0</v>
      </c>
      <c r="J64" s="10">
        <f>0.3+0.28</f>
        <v>0.58000000000000007</v>
      </c>
      <c r="K64" s="130">
        <f t="shared" si="2"/>
        <v>0.58000000000000007</v>
      </c>
    </row>
    <row r="65" spans="1:11" s="74" customFormat="1" ht="31.5" x14ac:dyDescent="0.25">
      <c r="A65" s="140">
        <v>55</v>
      </c>
      <c r="B65" s="49" t="s">
        <v>2099</v>
      </c>
      <c r="C65" s="15" t="s">
        <v>38</v>
      </c>
      <c r="D65" s="7" t="s">
        <v>80</v>
      </c>
      <c r="E65" s="14" t="s">
        <v>1030</v>
      </c>
      <c r="F65" s="13" t="s">
        <v>1051</v>
      </c>
      <c r="G65" s="13">
        <v>3.5</v>
      </c>
      <c r="H65" s="10">
        <v>0</v>
      </c>
      <c r="I65" s="10">
        <v>0</v>
      </c>
      <c r="J65" s="10">
        <v>1.76</v>
      </c>
      <c r="K65" s="130">
        <f t="shared" si="2"/>
        <v>1.76</v>
      </c>
    </row>
    <row r="66" spans="1:11" s="74" customFormat="1" ht="47.25" x14ac:dyDescent="0.25">
      <c r="A66" s="140">
        <v>56</v>
      </c>
      <c r="B66" s="49" t="s">
        <v>2100</v>
      </c>
      <c r="C66" s="15" t="s">
        <v>38</v>
      </c>
      <c r="D66" s="7" t="s">
        <v>81</v>
      </c>
      <c r="E66" s="14" t="s">
        <v>1030</v>
      </c>
      <c r="F66" s="13" t="s">
        <v>1051</v>
      </c>
      <c r="G66" s="13">
        <v>3.5</v>
      </c>
      <c r="H66" s="10">
        <v>0</v>
      </c>
      <c r="I66" s="10">
        <v>0</v>
      </c>
      <c r="J66" s="10">
        <v>1.3</v>
      </c>
      <c r="K66" s="130">
        <f t="shared" si="2"/>
        <v>1.3</v>
      </c>
    </row>
    <row r="67" spans="1:11" s="74" customFormat="1" ht="30" x14ac:dyDescent="0.25">
      <c r="A67" s="140">
        <v>57</v>
      </c>
      <c r="B67" s="49" t="s">
        <v>2101</v>
      </c>
      <c r="C67" s="15" t="s">
        <v>38</v>
      </c>
      <c r="D67" s="7" t="s">
        <v>82</v>
      </c>
      <c r="E67" s="14" t="s">
        <v>1030</v>
      </c>
      <c r="F67" s="13" t="s">
        <v>1051</v>
      </c>
      <c r="G67" s="13">
        <v>3.5</v>
      </c>
      <c r="H67" s="10">
        <v>0</v>
      </c>
      <c r="I67" s="10">
        <v>0</v>
      </c>
      <c r="J67" s="10">
        <v>3.16</v>
      </c>
      <c r="K67" s="130">
        <f t="shared" si="2"/>
        <v>3.16</v>
      </c>
    </row>
    <row r="68" spans="1:11" s="74" customFormat="1" ht="47.25" x14ac:dyDescent="0.25">
      <c r="A68" s="140">
        <v>58</v>
      </c>
      <c r="B68" s="49" t="s">
        <v>2102</v>
      </c>
      <c r="C68" s="15" t="s">
        <v>38</v>
      </c>
      <c r="D68" s="7" t="s">
        <v>84</v>
      </c>
      <c r="E68" s="14" t="s">
        <v>1030</v>
      </c>
      <c r="F68" s="13" t="s">
        <v>1051</v>
      </c>
      <c r="G68" s="13">
        <v>3.5</v>
      </c>
      <c r="H68" s="10">
        <v>0</v>
      </c>
      <c r="I68" s="10">
        <v>0</v>
      </c>
      <c r="J68" s="10">
        <v>1.07</v>
      </c>
      <c r="K68" s="130">
        <f t="shared" si="2"/>
        <v>1.07</v>
      </c>
    </row>
    <row r="69" spans="1:11" s="74" customFormat="1" ht="47.25" x14ac:dyDescent="0.25">
      <c r="A69" s="140">
        <v>59</v>
      </c>
      <c r="B69" s="49" t="s">
        <v>2103</v>
      </c>
      <c r="C69" s="15" t="s">
        <v>38</v>
      </c>
      <c r="D69" s="7" t="s">
        <v>83</v>
      </c>
      <c r="E69" s="14" t="s">
        <v>1030</v>
      </c>
      <c r="F69" s="13" t="s">
        <v>1051</v>
      </c>
      <c r="G69" s="13">
        <v>3.5</v>
      </c>
      <c r="H69" s="10">
        <v>0</v>
      </c>
      <c r="I69" s="10">
        <v>0</v>
      </c>
      <c r="J69" s="10">
        <v>0.373</v>
      </c>
      <c r="K69" s="130">
        <f t="shared" si="2"/>
        <v>0.373</v>
      </c>
    </row>
    <row r="70" spans="1:11" s="74" customFormat="1" ht="47.25" x14ac:dyDescent="0.25">
      <c r="A70" s="140">
        <v>60</v>
      </c>
      <c r="B70" s="49" t="s">
        <v>2104</v>
      </c>
      <c r="C70" s="15" t="s">
        <v>38</v>
      </c>
      <c r="D70" s="7" t="s">
        <v>85</v>
      </c>
      <c r="E70" s="14" t="s">
        <v>1030</v>
      </c>
      <c r="F70" s="13" t="s">
        <v>1051</v>
      </c>
      <c r="G70" s="13">
        <v>3.5</v>
      </c>
      <c r="H70" s="10">
        <v>0</v>
      </c>
      <c r="I70" s="10">
        <v>0</v>
      </c>
      <c r="J70" s="10">
        <v>0.34499999999999997</v>
      </c>
      <c r="K70" s="130">
        <f t="shared" si="2"/>
        <v>0.34499999999999997</v>
      </c>
    </row>
    <row r="71" spans="1:11" s="74" customFormat="1" ht="63" x14ac:dyDescent="0.25">
      <c r="A71" s="140">
        <v>61</v>
      </c>
      <c r="B71" s="49" t="s">
        <v>2105</v>
      </c>
      <c r="C71" s="15" t="s">
        <v>38</v>
      </c>
      <c r="D71" s="7" t="s">
        <v>86</v>
      </c>
      <c r="E71" s="14" t="s">
        <v>1030</v>
      </c>
      <c r="F71" s="13" t="s">
        <v>1051</v>
      </c>
      <c r="G71" s="13">
        <v>3.5</v>
      </c>
      <c r="H71" s="10">
        <v>0</v>
      </c>
      <c r="I71" s="10">
        <v>0</v>
      </c>
      <c r="J71" s="10">
        <v>1.3</v>
      </c>
      <c r="K71" s="130">
        <f t="shared" si="2"/>
        <v>1.3</v>
      </c>
    </row>
    <row r="72" spans="1:11" s="74" customFormat="1" ht="31.5" x14ac:dyDescent="0.25">
      <c r="A72" s="140">
        <v>62</v>
      </c>
      <c r="B72" s="49" t="s">
        <v>2106</v>
      </c>
      <c r="C72" s="15" t="s">
        <v>38</v>
      </c>
      <c r="D72" s="7" t="s">
        <v>87</v>
      </c>
      <c r="E72" s="14" t="s">
        <v>1030</v>
      </c>
      <c r="F72" s="13" t="s">
        <v>1051</v>
      </c>
      <c r="G72" s="13">
        <v>3.5</v>
      </c>
      <c r="H72" s="10">
        <v>0</v>
      </c>
      <c r="I72" s="10">
        <v>0</v>
      </c>
      <c r="J72" s="10">
        <v>1.06</v>
      </c>
      <c r="K72" s="130">
        <f t="shared" si="2"/>
        <v>1.06</v>
      </c>
    </row>
    <row r="73" spans="1:11" s="74" customFormat="1" ht="31.5" x14ac:dyDescent="0.25">
      <c r="A73" s="140">
        <v>63</v>
      </c>
      <c r="B73" s="49" t="s">
        <v>2107</v>
      </c>
      <c r="C73" s="15" t="s">
        <v>38</v>
      </c>
      <c r="D73" s="7" t="s">
        <v>88</v>
      </c>
      <c r="E73" s="14" t="s">
        <v>1030</v>
      </c>
      <c r="F73" s="13" t="s">
        <v>1051</v>
      </c>
      <c r="G73" s="13">
        <v>3.5</v>
      </c>
      <c r="H73" s="10">
        <v>0</v>
      </c>
      <c r="I73" s="10">
        <v>0</v>
      </c>
      <c r="J73" s="10">
        <v>2.87</v>
      </c>
      <c r="K73" s="130">
        <f t="shared" si="2"/>
        <v>2.87</v>
      </c>
    </row>
    <row r="74" spans="1:11" s="74" customFormat="1" ht="31.5" x14ac:dyDescent="0.25">
      <c r="A74" s="140">
        <v>64</v>
      </c>
      <c r="B74" s="49" t="s">
        <v>2108</v>
      </c>
      <c r="C74" s="15" t="s">
        <v>38</v>
      </c>
      <c r="D74" s="7" t="s">
        <v>89</v>
      </c>
      <c r="E74" s="14" t="s">
        <v>1030</v>
      </c>
      <c r="F74" s="13" t="s">
        <v>1051</v>
      </c>
      <c r="G74" s="13">
        <v>3.5</v>
      </c>
      <c r="H74" s="10">
        <v>0</v>
      </c>
      <c r="I74" s="10">
        <v>0</v>
      </c>
      <c r="J74" s="10">
        <v>1.66</v>
      </c>
      <c r="K74" s="130">
        <f t="shared" si="2"/>
        <v>1.66</v>
      </c>
    </row>
    <row r="75" spans="1:11" s="74" customFormat="1" ht="31.5" x14ac:dyDescent="0.25">
      <c r="A75" s="140">
        <v>65</v>
      </c>
      <c r="B75" s="49" t="s">
        <v>2109</v>
      </c>
      <c r="C75" s="15" t="s">
        <v>38</v>
      </c>
      <c r="D75" s="7" t="s">
        <v>90</v>
      </c>
      <c r="E75" s="14" t="s">
        <v>1030</v>
      </c>
      <c r="F75" s="13" t="s">
        <v>1051</v>
      </c>
      <c r="G75" s="13">
        <v>3.5</v>
      </c>
      <c r="H75" s="10">
        <v>0</v>
      </c>
      <c r="I75" s="10">
        <v>0</v>
      </c>
      <c r="J75" s="10">
        <v>1.0920000000000001</v>
      </c>
      <c r="K75" s="130">
        <f t="shared" si="2"/>
        <v>1.0920000000000001</v>
      </c>
    </row>
    <row r="76" spans="1:11" s="74" customFormat="1" ht="31.5" x14ac:dyDescent="0.25">
      <c r="A76" s="140">
        <v>66</v>
      </c>
      <c r="B76" s="49" t="s">
        <v>2110</v>
      </c>
      <c r="C76" s="15" t="s">
        <v>38</v>
      </c>
      <c r="D76" s="7" t="s">
        <v>91</v>
      </c>
      <c r="E76" s="14" t="s">
        <v>1030</v>
      </c>
      <c r="F76" s="13" t="s">
        <v>1051</v>
      </c>
      <c r="G76" s="13">
        <v>3.5</v>
      </c>
      <c r="H76" s="10">
        <v>0</v>
      </c>
      <c r="I76" s="10">
        <v>0</v>
      </c>
      <c r="J76" s="10">
        <v>1.75</v>
      </c>
      <c r="K76" s="130">
        <f t="shared" si="2"/>
        <v>1.75</v>
      </c>
    </row>
    <row r="77" spans="1:11" s="74" customFormat="1" ht="31.5" x14ac:dyDescent="0.25">
      <c r="A77" s="140">
        <v>67</v>
      </c>
      <c r="B77" s="49" t="s">
        <v>2111</v>
      </c>
      <c r="C77" s="15" t="s">
        <v>38</v>
      </c>
      <c r="D77" s="7" t="s">
        <v>92</v>
      </c>
      <c r="E77" s="14" t="s">
        <v>1030</v>
      </c>
      <c r="F77" s="13" t="s">
        <v>1051</v>
      </c>
      <c r="G77" s="13">
        <v>3.5</v>
      </c>
      <c r="H77" s="10">
        <v>0</v>
      </c>
      <c r="I77" s="10">
        <v>0</v>
      </c>
      <c r="J77" s="10">
        <v>1.4339999999999999</v>
      </c>
      <c r="K77" s="130">
        <f t="shared" si="2"/>
        <v>1.4339999999999999</v>
      </c>
    </row>
    <row r="78" spans="1:11" s="74" customFormat="1" ht="31.5" x14ac:dyDescent="0.25">
      <c r="A78" s="140">
        <v>68</v>
      </c>
      <c r="B78" s="49" t="s">
        <v>2112</v>
      </c>
      <c r="C78" s="15" t="s">
        <v>38</v>
      </c>
      <c r="D78" s="7" t="s">
        <v>93</v>
      </c>
      <c r="E78" s="14" t="s">
        <v>1030</v>
      </c>
      <c r="F78" s="13" t="s">
        <v>1051</v>
      </c>
      <c r="G78" s="13">
        <v>3.5</v>
      </c>
      <c r="H78" s="10">
        <v>0</v>
      </c>
      <c r="I78" s="10">
        <v>0</v>
      </c>
      <c r="J78" s="10">
        <v>2.1440000000000001</v>
      </c>
      <c r="K78" s="130">
        <f t="shared" si="2"/>
        <v>2.1440000000000001</v>
      </c>
    </row>
    <row r="79" spans="1:11" s="74" customFormat="1" ht="31.5" x14ac:dyDescent="0.25">
      <c r="A79" s="140">
        <v>69</v>
      </c>
      <c r="B79" s="49" t="s">
        <v>2113</v>
      </c>
      <c r="C79" s="15" t="s">
        <v>38</v>
      </c>
      <c r="D79" s="7" t="s">
        <v>94</v>
      </c>
      <c r="E79" s="14" t="s">
        <v>1030</v>
      </c>
      <c r="F79" s="13" t="s">
        <v>1051</v>
      </c>
      <c r="G79" s="13">
        <v>3.5</v>
      </c>
      <c r="H79" s="10">
        <v>0</v>
      </c>
      <c r="I79" s="10">
        <v>0</v>
      </c>
      <c r="J79" s="10">
        <v>2.1230000000000002</v>
      </c>
      <c r="K79" s="130">
        <f t="shared" ref="K79" si="3">H79+J79</f>
        <v>2.1230000000000002</v>
      </c>
    </row>
    <row r="80" spans="1:11" x14ac:dyDescent="0.25">
      <c r="B80" s="91"/>
      <c r="C80" s="75"/>
      <c r="D80" s="91"/>
      <c r="E80" s="91"/>
      <c r="F80" s="77"/>
      <c r="G80" s="77"/>
      <c r="H80" s="91"/>
      <c r="K80" s="137"/>
    </row>
    <row r="81" spans="2:11" x14ac:dyDescent="0.25">
      <c r="B81" s="91"/>
      <c r="C81" s="75"/>
      <c r="D81" s="91"/>
      <c r="E81" s="91"/>
      <c r="F81" s="77"/>
      <c r="G81" s="77"/>
      <c r="H81" s="91"/>
      <c r="K81" s="137"/>
    </row>
  </sheetData>
  <mergeCells count="9">
    <mergeCell ref="A7:A8"/>
    <mergeCell ref="B7:B8"/>
    <mergeCell ref="C7:C8"/>
    <mergeCell ref="D7:D8"/>
    <mergeCell ref="C1:I1"/>
    <mergeCell ref="E7:E8"/>
    <mergeCell ref="F7:F8"/>
    <mergeCell ref="K7:K8"/>
    <mergeCell ref="G7:G8"/>
  </mergeCells>
  <pageMargins left="0.25" right="0.25" top="0.75" bottom="0.75" header="0.3" footer="0.3"/>
  <pageSetup paperSize="9" scale="75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BreakPreview" zoomScale="80" zoomScaleNormal="100" zoomScaleSheetLayoutView="80" workbookViewId="0">
      <selection activeCell="J47" sqref="J47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3.28515625" style="4" customWidth="1"/>
    <col min="4" max="4" width="31.7109375" style="46" customWidth="1"/>
    <col min="5" max="5" width="24.28515625" style="4" customWidth="1"/>
    <col min="6" max="7" width="9.7109375" style="4" customWidth="1"/>
    <col min="8" max="8" width="11.28515625" style="4" customWidth="1"/>
    <col min="9" max="9" width="15" style="4" customWidth="1"/>
    <col min="10" max="10" width="11" style="4" customWidth="1"/>
    <col min="11" max="11" width="15.140625" style="4" customWidth="1"/>
    <col min="12" max="16384" width="9.140625" style="4"/>
  </cols>
  <sheetData>
    <row r="1" spans="1:11" ht="28.9" customHeight="1" x14ac:dyDescent="0.25">
      <c r="B1" s="5"/>
      <c r="C1" s="180" t="s">
        <v>3213</v>
      </c>
      <c r="D1" s="180"/>
      <c r="E1" s="180"/>
      <c r="F1" s="180"/>
      <c r="G1" s="180"/>
      <c r="H1" s="180"/>
      <c r="I1" s="180"/>
      <c r="J1" s="5"/>
    </row>
    <row r="2" spans="1:1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x14ac:dyDescent="0.25">
      <c r="C4" s="152"/>
      <c r="D4" s="152"/>
      <c r="E4" s="152"/>
      <c r="F4" s="152"/>
      <c r="G4" s="152"/>
      <c r="H4" s="152"/>
      <c r="I4" s="152"/>
      <c r="K4" s="153" t="s">
        <v>3214</v>
      </c>
    </row>
    <row r="5" spans="1:11" x14ac:dyDescent="0.25">
      <c r="D5" s="4"/>
      <c r="K5" s="153" t="s">
        <v>3215</v>
      </c>
    </row>
    <row r="7" spans="1:11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43"/>
      <c r="I7" s="44" t="s">
        <v>16</v>
      </c>
      <c r="J7" s="40"/>
      <c r="K7" s="178" t="s">
        <v>5</v>
      </c>
    </row>
    <row r="8" spans="1:11" s="5" customFormat="1" ht="60" customHeight="1" thickBot="1" x14ac:dyDescent="0.3">
      <c r="A8" s="184"/>
      <c r="B8" s="184"/>
      <c r="C8" s="184"/>
      <c r="D8" s="185"/>
      <c r="E8" s="184"/>
      <c r="F8" s="184"/>
      <c r="G8" s="179"/>
      <c r="H8" s="25" t="s">
        <v>3</v>
      </c>
      <c r="I8" s="25" t="s">
        <v>24</v>
      </c>
      <c r="J8" s="26" t="s">
        <v>4</v>
      </c>
      <c r="K8" s="184"/>
    </row>
    <row r="9" spans="1:11" s="5" customFormat="1" ht="21.75" customHeight="1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8">
        <v>9</v>
      </c>
      <c r="J9" s="28">
        <v>10</v>
      </c>
      <c r="K9" s="30">
        <v>11</v>
      </c>
    </row>
    <row r="10" spans="1:11" s="5" customFormat="1" ht="29.25" customHeight="1" thickBot="1" x14ac:dyDescent="0.3">
      <c r="A10" s="18" t="s">
        <v>2</v>
      </c>
      <c r="B10" s="19"/>
      <c r="C10" s="19"/>
      <c r="D10" s="48"/>
      <c r="E10" s="19"/>
      <c r="F10" s="20"/>
      <c r="G10" s="20"/>
      <c r="H10" s="21">
        <f>SUM(H11:H215)</f>
        <v>35.049999999999997</v>
      </c>
      <c r="I10" s="21">
        <f>SUM(I11:I215)</f>
        <v>13.321999999999999</v>
      </c>
      <c r="J10" s="21">
        <f>SUM(J11:J215)</f>
        <v>49.45</v>
      </c>
      <c r="K10" s="22">
        <f>SUM(K11:K215)</f>
        <v>84.499999999999986</v>
      </c>
    </row>
    <row r="11" spans="1:11" s="5" customFormat="1" ht="29.25" customHeight="1" thickBot="1" x14ac:dyDescent="0.3">
      <c r="A11" s="23">
        <v>1</v>
      </c>
      <c r="B11" s="49" t="s">
        <v>2114</v>
      </c>
      <c r="C11" s="15" t="s">
        <v>39</v>
      </c>
      <c r="D11" s="49" t="s">
        <v>200</v>
      </c>
      <c r="E11" s="14" t="s">
        <v>1031</v>
      </c>
      <c r="F11" s="13" t="s">
        <v>1051</v>
      </c>
      <c r="G11" s="13">
        <v>4</v>
      </c>
      <c r="H11" s="10">
        <v>1.6930000000000001</v>
      </c>
      <c r="I11" s="10">
        <v>0.34</v>
      </c>
      <c r="J11" s="10">
        <v>0</v>
      </c>
      <c r="K11" s="22">
        <f>SUM(H11,J11)</f>
        <v>1.6930000000000001</v>
      </c>
    </row>
    <row r="12" spans="1:11" s="5" customFormat="1" ht="28.9" customHeight="1" thickBot="1" x14ac:dyDescent="0.3">
      <c r="A12" s="23">
        <v>2</v>
      </c>
      <c r="B12" s="49" t="s">
        <v>2115</v>
      </c>
      <c r="C12" s="15" t="s">
        <v>39</v>
      </c>
      <c r="D12" s="49" t="s">
        <v>201</v>
      </c>
      <c r="E12" s="14" t="s">
        <v>1031</v>
      </c>
      <c r="F12" s="13" t="s">
        <v>1051</v>
      </c>
      <c r="G12" s="13">
        <v>4</v>
      </c>
      <c r="H12" s="10">
        <v>1.1259999999999999</v>
      </c>
      <c r="I12" s="10">
        <v>1.1259999999999999</v>
      </c>
      <c r="J12" s="10">
        <v>0</v>
      </c>
      <c r="K12" s="22">
        <f t="shared" ref="K12:K55" si="0">SUM(H12,J12)</f>
        <v>1.1259999999999999</v>
      </c>
    </row>
    <row r="13" spans="1:11" s="5" customFormat="1" ht="33" customHeight="1" thickBot="1" x14ac:dyDescent="0.3">
      <c r="A13" s="23">
        <v>3</v>
      </c>
      <c r="B13" s="49" t="s">
        <v>2116</v>
      </c>
      <c r="C13" s="15" t="s">
        <v>38</v>
      </c>
      <c r="D13" s="49" t="s">
        <v>1032</v>
      </c>
      <c r="E13" s="14" t="s">
        <v>1031</v>
      </c>
      <c r="F13" s="13" t="s">
        <v>1051</v>
      </c>
      <c r="G13" s="13">
        <v>4</v>
      </c>
      <c r="H13" s="10">
        <v>0</v>
      </c>
      <c r="I13" s="10">
        <v>0</v>
      </c>
      <c r="J13" s="10">
        <v>0.107</v>
      </c>
      <c r="K13" s="22">
        <f t="shared" si="0"/>
        <v>0.107</v>
      </c>
    </row>
    <row r="14" spans="1:11" s="5" customFormat="1" ht="33.75" customHeight="1" thickBot="1" x14ac:dyDescent="0.3">
      <c r="A14" s="23">
        <v>4</v>
      </c>
      <c r="B14" s="49" t="s">
        <v>2117</v>
      </c>
      <c r="C14" s="15" t="s">
        <v>38</v>
      </c>
      <c r="D14" s="49" t="s">
        <v>202</v>
      </c>
      <c r="E14" s="14" t="s">
        <v>1031</v>
      </c>
      <c r="F14" s="13" t="s">
        <v>1114</v>
      </c>
      <c r="G14" s="13">
        <v>6</v>
      </c>
      <c r="H14" s="10">
        <v>3.7669999999999999</v>
      </c>
      <c r="I14" s="10">
        <v>3.7669999999999999</v>
      </c>
      <c r="J14" s="10">
        <v>0</v>
      </c>
      <c r="K14" s="22">
        <f t="shared" si="0"/>
        <v>3.7669999999999999</v>
      </c>
    </row>
    <row r="15" spans="1:11" s="5" customFormat="1" ht="23.25" customHeight="1" thickBot="1" x14ac:dyDescent="0.3">
      <c r="A15" s="23">
        <v>5</v>
      </c>
      <c r="B15" s="49" t="s">
        <v>2118</v>
      </c>
      <c r="C15" s="15" t="s">
        <v>39</v>
      </c>
      <c r="D15" s="49" t="s">
        <v>203</v>
      </c>
      <c r="E15" s="14" t="s">
        <v>1031</v>
      </c>
      <c r="F15" s="13" t="s">
        <v>1051</v>
      </c>
      <c r="G15" s="13">
        <v>4</v>
      </c>
      <c r="H15" s="10">
        <f>0.83+0.105+0.488</f>
        <v>1.423</v>
      </c>
      <c r="I15" s="10">
        <v>0.83</v>
      </c>
      <c r="J15" s="10">
        <v>0</v>
      </c>
      <c r="K15" s="22">
        <f t="shared" si="0"/>
        <v>1.423</v>
      </c>
    </row>
    <row r="16" spans="1:11" s="5" customFormat="1" ht="35.25" customHeight="1" thickBot="1" x14ac:dyDescent="0.3">
      <c r="A16" s="23">
        <v>6</v>
      </c>
      <c r="B16" s="49" t="s">
        <v>2119</v>
      </c>
      <c r="C16" s="15" t="s">
        <v>38</v>
      </c>
      <c r="D16" s="49" t="s">
        <v>204</v>
      </c>
      <c r="E16" s="14" t="s">
        <v>1031</v>
      </c>
      <c r="F16" s="13" t="s">
        <v>1051</v>
      </c>
      <c r="G16" s="13">
        <v>3.5</v>
      </c>
      <c r="H16" s="10">
        <v>0</v>
      </c>
      <c r="I16" s="10">
        <v>0</v>
      </c>
      <c r="J16" s="10">
        <v>0.36499999999999999</v>
      </c>
      <c r="K16" s="22">
        <f t="shared" si="0"/>
        <v>0.36499999999999999</v>
      </c>
    </row>
    <row r="17" spans="1:11" s="5" customFormat="1" ht="36" customHeight="1" thickBot="1" x14ac:dyDescent="0.3">
      <c r="A17" s="23">
        <v>7</v>
      </c>
      <c r="B17" s="49" t="s">
        <v>2120</v>
      </c>
      <c r="C17" s="15" t="s">
        <v>38</v>
      </c>
      <c r="D17" s="49" t="s">
        <v>205</v>
      </c>
      <c r="E17" s="14" t="s">
        <v>1031</v>
      </c>
      <c r="F17" s="13" t="s">
        <v>1051</v>
      </c>
      <c r="G17" s="13">
        <v>3.5</v>
      </c>
      <c r="H17" s="10">
        <v>0</v>
      </c>
      <c r="I17" s="10">
        <v>0</v>
      </c>
      <c r="J17" s="10">
        <v>0.59</v>
      </c>
      <c r="K17" s="22">
        <f t="shared" si="0"/>
        <v>0.59</v>
      </c>
    </row>
    <row r="18" spans="1:11" s="5" customFormat="1" ht="36.75" customHeight="1" thickBot="1" x14ac:dyDescent="0.3">
      <c r="A18" s="23">
        <v>8</v>
      </c>
      <c r="B18" s="49" t="s">
        <v>2121</v>
      </c>
      <c r="C18" s="15" t="s">
        <v>38</v>
      </c>
      <c r="D18" s="49" t="s">
        <v>206</v>
      </c>
      <c r="E18" s="14" t="s">
        <v>1031</v>
      </c>
      <c r="F18" s="13" t="s">
        <v>1051</v>
      </c>
      <c r="G18" s="13">
        <v>3.5</v>
      </c>
      <c r="H18" s="10">
        <v>0</v>
      </c>
      <c r="I18" s="10">
        <v>0</v>
      </c>
      <c r="J18" s="10">
        <v>0.49</v>
      </c>
      <c r="K18" s="22">
        <f t="shared" si="0"/>
        <v>0.49</v>
      </c>
    </row>
    <row r="19" spans="1:11" s="5" customFormat="1" ht="36.75" customHeight="1" thickBot="1" x14ac:dyDescent="0.3">
      <c r="A19" s="23">
        <v>9</v>
      </c>
      <c r="B19" s="49" t="s">
        <v>2122</v>
      </c>
      <c r="C19" s="15" t="s">
        <v>38</v>
      </c>
      <c r="D19" s="49" t="s">
        <v>211</v>
      </c>
      <c r="E19" s="14" t="s">
        <v>1031</v>
      </c>
      <c r="F19" s="13" t="s">
        <v>1051</v>
      </c>
      <c r="G19" s="13">
        <v>3.5</v>
      </c>
      <c r="H19" s="10">
        <v>0.3</v>
      </c>
      <c r="I19" s="10">
        <v>0</v>
      </c>
      <c r="J19" s="10">
        <v>0</v>
      </c>
      <c r="K19" s="22">
        <f t="shared" si="0"/>
        <v>0.3</v>
      </c>
    </row>
    <row r="20" spans="1:11" s="5" customFormat="1" ht="36" customHeight="1" thickBot="1" x14ac:dyDescent="0.3">
      <c r="A20" s="23">
        <v>10</v>
      </c>
      <c r="B20" s="49" t="s">
        <v>2123</v>
      </c>
      <c r="C20" s="15" t="s">
        <v>38</v>
      </c>
      <c r="D20" s="49" t="s">
        <v>210</v>
      </c>
      <c r="E20" s="14" t="s">
        <v>1031</v>
      </c>
      <c r="F20" s="13" t="s">
        <v>1051</v>
      </c>
      <c r="G20" s="13">
        <v>3.5</v>
      </c>
      <c r="H20" s="10">
        <v>0</v>
      </c>
      <c r="I20" s="10">
        <v>0</v>
      </c>
      <c r="J20" s="10">
        <v>0.2</v>
      </c>
      <c r="K20" s="22">
        <f t="shared" si="0"/>
        <v>0.2</v>
      </c>
    </row>
    <row r="21" spans="1:11" s="5" customFormat="1" ht="36.75" customHeight="1" thickBot="1" x14ac:dyDescent="0.3">
      <c r="A21" s="23">
        <v>11</v>
      </c>
      <c r="B21" s="49" t="s">
        <v>2124</v>
      </c>
      <c r="C21" s="15" t="s">
        <v>38</v>
      </c>
      <c r="D21" s="49" t="s">
        <v>209</v>
      </c>
      <c r="E21" s="14" t="s">
        <v>1031</v>
      </c>
      <c r="F21" s="13" t="s">
        <v>1051</v>
      </c>
      <c r="G21" s="13">
        <v>3.5</v>
      </c>
      <c r="H21" s="10">
        <v>0.27900000000000003</v>
      </c>
      <c r="I21" s="10">
        <v>0</v>
      </c>
      <c r="J21" s="10">
        <v>0</v>
      </c>
      <c r="K21" s="22">
        <f t="shared" si="0"/>
        <v>0.27900000000000003</v>
      </c>
    </row>
    <row r="22" spans="1:11" s="5" customFormat="1" ht="29.45" customHeight="1" thickBot="1" x14ac:dyDescent="0.3">
      <c r="A22" s="23">
        <v>12</v>
      </c>
      <c r="B22" s="49" t="s">
        <v>2125</v>
      </c>
      <c r="C22" s="15" t="s">
        <v>39</v>
      </c>
      <c r="D22" s="49" t="s">
        <v>207</v>
      </c>
      <c r="E22" s="14" t="s">
        <v>1031</v>
      </c>
      <c r="F22" s="13" t="s">
        <v>1051</v>
      </c>
      <c r="G22" s="13">
        <v>4</v>
      </c>
      <c r="H22" s="10">
        <v>0.61599999999999999</v>
      </c>
      <c r="I22" s="10">
        <v>0</v>
      </c>
      <c r="J22" s="10">
        <v>0</v>
      </c>
      <c r="K22" s="22">
        <f t="shared" si="0"/>
        <v>0.61599999999999999</v>
      </c>
    </row>
    <row r="23" spans="1:11" s="5" customFormat="1" ht="31.9" customHeight="1" thickBot="1" x14ac:dyDescent="0.3">
      <c r="A23" s="23">
        <v>13</v>
      </c>
      <c r="B23" s="49" t="s">
        <v>2126</v>
      </c>
      <c r="C23" s="15" t="s">
        <v>39</v>
      </c>
      <c r="D23" s="49" t="s">
        <v>208</v>
      </c>
      <c r="E23" s="14" t="s">
        <v>1031</v>
      </c>
      <c r="F23" s="13" t="s">
        <v>1051</v>
      </c>
      <c r="G23" s="13">
        <v>3.5</v>
      </c>
      <c r="H23" s="10">
        <f>0.27+0.25+0.33+0.87+0.13+1.34+0.307+0.211+0.075</f>
        <v>3.7830000000000004</v>
      </c>
      <c r="I23" s="10">
        <f>0.87+0.13+0.843</f>
        <v>1.843</v>
      </c>
      <c r="J23" s="10">
        <f>0.126</f>
        <v>0.126</v>
      </c>
      <c r="K23" s="22">
        <f t="shared" si="0"/>
        <v>3.9090000000000003</v>
      </c>
    </row>
    <row r="24" spans="1:11" s="5" customFormat="1" ht="36.75" customHeight="1" thickBot="1" x14ac:dyDescent="0.3">
      <c r="A24" s="23">
        <v>14</v>
      </c>
      <c r="B24" s="49" t="s">
        <v>2127</v>
      </c>
      <c r="C24" s="15" t="s">
        <v>39</v>
      </c>
      <c r="D24" s="49" t="s">
        <v>212</v>
      </c>
      <c r="E24" s="14" t="s">
        <v>1031</v>
      </c>
      <c r="F24" s="13" t="s">
        <v>1051</v>
      </c>
      <c r="G24" s="13">
        <v>4</v>
      </c>
      <c r="H24" s="10">
        <f>0.473+0.13+0.342</f>
        <v>0.94500000000000006</v>
      </c>
      <c r="I24" s="10">
        <f>0.473+0.13</f>
        <v>0.60299999999999998</v>
      </c>
      <c r="J24" s="10">
        <f>0.468</f>
        <v>0.46800000000000003</v>
      </c>
      <c r="K24" s="22">
        <f t="shared" si="0"/>
        <v>1.413</v>
      </c>
    </row>
    <row r="25" spans="1:11" s="5" customFormat="1" ht="36" customHeight="1" thickBot="1" x14ac:dyDescent="0.3">
      <c r="A25" s="23">
        <v>15</v>
      </c>
      <c r="B25" s="49" t="s">
        <v>2128</v>
      </c>
      <c r="C25" s="15" t="s">
        <v>38</v>
      </c>
      <c r="D25" s="49" t="s">
        <v>213</v>
      </c>
      <c r="E25" s="14" t="s">
        <v>1031</v>
      </c>
      <c r="F25" s="13" t="s">
        <v>1051</v>
      </c>
      <c r="G25" s="13">
        <v>4</v>
      </c>
      <c r="H25" s="10">
        <v>0</v>
      </c>
      <c r="I25" s="10">
        <v>0</v>
      </c>
      <c r="J25" s="10">
        <v>0.31</v>
      </c>
      <c r="K25" s="22">
        <f t="shared" si="0"/>
        <v>0.31</v>
      </c>
    </row>
    <row r="26" spans="1:11" s="5" customFormat="1" ht="34.5" customHeight="1" thickBot="1" x14ac:dyDescent="0.3">
      <c r="A26" s="23">
        <v>16</v>
      </c>
      <c r="B26" s="49" t="s">
        <v>2129</v>
      </c>
      <c r="C26" s="15" t="s">
        <v>39</v>
      </c>
      <c r="D26" s="49" t="s">
        <v>214</v>
      </c>
      <c r="E26" s="14" t="s">
        <v>1031</v>
      </c>
      <c r="F26" s="13" t="s">
        <v>1051</v>
      </c>
      <c r="G26" s="13">
        <v>4</v>
      </c>
      <c r="H26" s="10">
        <f>0.53+1.091</f>
        <v>1.621</v>
      </c>
      <c r="I26" s="10">
        <v>0.53</v>
      </c>
      <c r="J26" s="10">
        <v>0</v>
      </c>
      <c r="K26" s="22">
        <f t="shared" si="0"/>
        <v>1.621</v>
      </c>
    </row>
    <row r="27" spans="1:11" s="5" customFormat="1" ht="29.45" customHeight="1" thickBot="1" x14ac:dyDescent="0.3">
      <c r="A27" s="23">
        <v>17</v>
      </c>
      <c r="B27" s="49" t="s">
        <v>2130</v>
      </c>
      <c r="C27" s="15" t="s">
        <v>39</v>
      </c>
      <c r="D27" s="49" t="s">
        <v>215</v>
      </c>
      <c r="E27" s="14" t="s">
        <v>1031</v>
      </c>
      <c r="F27" s="13" t="s">
        <v>1051</v>
      </c>
      <c r="G27" s="13">
        <v>4</v>
      </c>
      <c r="H27" s="10">
        <v>2.6</v>
      </c>
      <c r="I27" s="10">
        <v>0</v>
      </c>
      <c r="J27" s="10">
        <v>2.512</v>
      </c>
      <c r="K27" s="22">
        <f t="shared" si="0"/>
        <v>5.1120000000000001</v>
      </c>
    </row>
    <row r="28" spans="1:11" s="5" customFormat="1" ht="43.5" customHeight="1" thickBot="1" x14ac:dyDescent="0.3">
      <c r="A28" s="23">
        <v>18</v>
      </c>
      <c r="B28" s="49" t="s">
        <v>2131</v>
      </c>
      <c r="C28" s="15" t="s">
        <v>38</v>
      </c>
      <c r="D28" s="49" t="s">
        <v>216</v>
      </c>
      <c r="E28" s="14" t="s">
        <v>1031</v>
      </c>
      <c r="F28" s="13" t="s">
        <v>1051</v>
      </c>
      <c r="G28" s="13">
        <v>3.5</v>
      </c>
      <c r="H28" s="10">
        <v>0</v>
      </c>
      <c r="I28" s="10">
        <v>0</v>
      </c>
      <c r="J28" s="10">
        <v>1.2</v>
      </c>
      <c r="K28" s="22">
        <f t="shared" si="0"/>
        <v>1.2</v>
      </c>
    </row>
    <row r="29" spans="1:11" s="5" customFormat="1" ht="37.5" customHeight="1" thickBot="1" x14ac:dyDescent="0.3">
      <c r="A29" s="23">
        <v>19</v>
      </c>
      <c r="B29" s="49" t="s">
        <v>2132</v>
      </c>
      <c r="C29" s="15" t="s">
        <v>38</v>
      </c>
      <c r="D29" s="49" t="s">
        <v>217</v>
      </c>
      <c r="E29" s="14" t="s">
        <v>1031</v>
      </c>
      <c r="F29" s="13" t="s">
        <v>1051</v>
      </c>
      <c r="G29" s="13">
        <v>3.5</v>
      </c>
      <c r="H29" s="10">
        <v>0</v>
      </c>
      <c r="I29" s="10">
        <v>0</v>
      </c>
      <c r="J29" s="10">
        <v>0.71799999999999997</v>
      </c>
      <c r="K29" s="22">
        <f t="shared" si="0"/>
        <v>0.71799999999999997</v>
      </c>
    </row>
    <row r="30" spans="1:11" s="5" customFormat="1" ht="41.25" customHeight="1" thickBot="1" x14ac:dyDescent="0.3">
      <c r="A30" s="23">
        <v>20</v>
      </c>
      <c r="B30" s="49" t="s">
        <v>2133</v>
      </c>
      <c r="C30" s="15" t="s">
        <v>39</v>
      </c>
      <c r="D30" s="49" t="s">
        <v>218</v>
      </c>
      <c r="E30" s="14" t="s">
        <v>1031</v>
      </c>
      <c r="F30" s="13" t="s">
        <v>1051</v>
      </c>
      <c r="G30" s="13">
        <v>3.5</v>
      </c>
      <c r="H30" s="10">
        <f>0.718+0.528</f>
        <v>1.246</v>
      </c>
      <c r="I30" s="10">
        <v>0.71799999999999997</v>
      </c>
      <c r="J30" s="10">
        <v>0</v>
      </c>
      <c r="K30" s="22">
        <f t="shared" si="0"/>
        <v>1.246</v>
      </c>
    </row>
    <row r="31" spans="1:11" s="5" customFormat="1" ht="38.25" customHeight="1" thickBot="1" x14ac:dyDescent="0.3">
      <c r="A31" s="23">
        <v>21</v>
      </c>
      <c r="B31" s="49" t="s">
        <v>2134</v>
      </c>
      <c r="C31" s="15" t="s">
        <v>38</v>
      </c>
      <c r="D31" s="49" t="s">
        <v>219</v>
      </c>
      <c r="E31" s="14" t="s">
        <v>1031</v>
      </c>
      <c r="F31" s="13" t="s">
        <v>1051</v>
      </c>
      <c r="G31" s="13">
        <v>3.5</v>
      </c>
      <c r="H31" s="10">
        <v>0</v>
      </c>
      <c r="I31" s="10">
        <v>0</v>
      </c>
      <c r="J31" s="10">
        <v>0.61599999999999999</v>
      </c>
      <c r="K31" s="22">
        <f t="shared" si="0"/>
        <v>0.61599999999999999</v>
      </c>
    </row>
    <row r="32" spans="1:11" s="5" customFormat="1" ht="36.75" customHeight="1" thickBot="1" x14ac:dyDescent="0.3">
      <c r="A32" s="23">
        <v>22</v>
      </c>
      <c r="B32" s="49" t="s">
        <v>2135</v>
      </c>
      <c r="C32" s="15" t="s">
        <v>39</v>
      </c>
      <c r="D32" s="49" t="s">
        <v>220</v>
      </c>
      <c r="E32" s="14" t="s">
        <v>1031</v>
      </c>
      <c r="F32" s="13" t="s">
        <v>1051</v>
      </c>
      <c r="G32" s="13">
        <v>4</v>
      </c>
      <c r="H32" s="10">
        <v>0.86799999999999999</v>
      </c>
      <c r="I32" s="10">
        <v>0</v>
      </c>
      <c r="J32" s="10">
        <v>0.88500000000000001</v>
      </c>
      <c r="K32" s="22">
        <f t="shared" si="0"/>
        <v>1.7530000000000001</v>
      </c>
    </row>
    <row r="33" spans="1:11" s="5" customFormat="1" ht="28.9" customHeight="1" thickBot="1" x14ac:dyDescent="0.3">
      <c r="A33" s="23">
        <v>23</v>
      </c>
      <c r="B33" s="49" t="s">
        <v>2136</v>
      </c>
      <c r="C33" s="15" t="s">
        <v>39</v>
      </c>
      <c r="D33" s="49" t="s">
        <v>221</v>
      </c>
      <c r="E33" s="14" t="s">
        <v>1031</v>
      </c>
      <c r="F33" s="13" t="s">
        <v>1051</v>
      </c>
      <c r="G33" s="13">
        <v>4</v>
      </c>
      <c r="H33" s="10">
        <f>0.981+1.324</f>
        <v>2.3050000000000002</v>
      </c>
      <c r="I33" s="10">
        <v>0.98099999999999998</v>
      </c>
      <c r="J33" s="10">
        <v>0.86899999999999999</v>
      </c>
      <c r="K33" s="22">
        <f t="shared" si="0"/>
        <v>3.1740000000000004</v>
      </c>
    </row>
    <row r="34" spans="1:11" s="5" customFormat="1" ht="38.450000000000003" customHeight="1" x14ac:dyDescent="0.25">
      <c r="A34" s="23">
        <v>24</v>
      </c>
      <c r="B34" s="49" t="s">
        <v>2137</v>
      </c>
      <c r="C34" s="15" t="s">
        <v>38</v>
      </c>
      <c r="D34" s="49" t="s">
        <v>222</v>
      </c>
      <c r="E34" s="14" t="s">
        <v>1031</v>
      </c>
      <c r="F34" s="13" t="s">
        <v>1051</v>
      </c>
      <c r="G34" s="13">
        <v>3.5</v>
      </c>
      <c r="H34" s="10">
        <v>0</v>
      </c>
      <c r="I34" s="10">
        <v>0</v>
      </c>
      <c r="J34" s="10">
        <v>1.7270000000000001</v>
      </c>
      <c r="K34" s="22">
        <f t="shared" si="0"/>
        <v>1.7270000000000001</v>
      </c>
    </row>
    <row r="35" spans="1:11" s="5" customFormat="1" ht="28.9" customHeight="1" x14ac:dyDescent="0.25">
      <c r="A35" s="23">
        <v>25</v>
      </c>
      <c r="B35" s="49" t="s">
        <v>2138</v>
      </c>
      <c r="C35" s="15" t="s">
        <v>39</v>
      </c>
      <c r="D35" s="49" t="s">
        <v>223</v>
      </c>
      <c r="E35" s="14" t="s">
        <v>1031</v>
      </c>
      <c r="F35" s="13" t="s">
        <v>1051</v>
      </c>
      <c r="G35" s="13">
        <v>4</v>
      </c>
      <c r="H35" s="10">
        <v>1.4039999999999999</v>
      </c>
      <c r="I35" s="10">
        <v>0</v>
      </c>
      <c r="J35" s="10">
        <v>0.41099999999999998</v>
      </c>
      <c r="K35" s="24">
        <f t="shared" si="0"/>
        <v>1.8149999999999999</v>
      </c>
    </row>
    <row r="36" spans="1:11" s="5" customFormat="1" ht="33" customHeight="1" x14ac:dyDescent="0.25">
      <c r="A36" s="23">
        <v>26</v>
      </c>
      <c r="B36" s="49" t="s">
        <v>2139</v>
      </c>
      <c r="C36" s="15" t="s">
        <v>39</v>
      </c>
      <c r="D36" s="49" t="s">
        <v>224</v>
      </c>
      <c r="E36" s="14" t="s">
        <v>1031</v>
      </c>
      <c r="F36" s="13" t="s">
        <v>1051</v>
      </c>
      <c r="G36" s="13">
        <v>4</v>
      </c>
      <c r="H36" s="10">
        <f>0.874+0.96</f>
        <v>1.8340000000000001</v>
      </c>
      <c r="I36" s="10">
        <f>0.874+0.96</f>
        <v>1.8340000000000001</v>
      </c>
      <c r="J36" s="10">
        <v>0</v>
      </c>
      <c r="K36" s="24">
        <f t="shared" si="0"/>
        <v>1.8340000000000001</v>
      </c>
    </row>
    <row r="37" spans="1:11" s="5" customFormat="1" ht="30.75" customHeight="1" x14ac:dyDescent="0.25">
      <c r="A37" s="23">
        <v>27</v>
      </c>
      <c r="B37" s="49" t="s">
        <v>2140</v>
      </c>
      <c r="C37" s="15" t="s">
        <v>38</v>
      </c>
      <c r="D37" s="49" t="s">
        <v>225</v>
      </c>
      <c r="E37" s="14" t="s">
        <v>1031</v>
      </c>
      <c r="F37" s="13" t="s">
        <v>1051</v>
      </c>
      <c r="G37" s="13">
        <v>4</v>
      </c>
      <c r="H37" s="10">
        <v>0.42299999999999999</v>
      </c>
      <c r="I37" s="10">
        <v>0</v>
      </c>
      <c r="J37" s="10">
        <v>0</v>
      </c>
      <c r="K37" s="24">
        <f t="shared" si="0"/>
        <v>0.42299999999999999</v>
      </c>
    </row>
    <row r="38" spans="1:11" s="5" customFormat="1" ht="42.75" customHeight="1" x14ac:dyDescent="0.25">
      <c r="A38" s="23">
        <v>28</v>
      </c>
      <c r="B38" s="49" t="s">
        <v>2141</v>
      </c>
      <c r="C38" s="15" t="s">
        <v>38</v>
      </c>
      <c r="D38" s="49" t="s">
        <v>226</v>
      </c>
      <c r="E38" s="14" t="s">
        <v>1031</v>
      </c>
      <c r="F38" s="13" t="s">
        <v>1051</v>
      </c>
      <c r="G38" s="13">
        <v>4</v>
      </c>
      <c r="H38" s="10">
        <v>0</v>
      </c>
      <c r="I38" s="10">
        <v>0</v>
      </c>
      <c r="J38" s="10">
        <v>2.3660000000000001</v>
      </c>
      <c r="K38" s="24">
        <f t="shared" si="0"/>
        <v>2.3660000000000001</v>
      </c>
    </row>
    <row r="39" spans="1:11" s="5" customFormat="1" ht="34.5" customHeight="1" x14ac:dyDescent="0.25">
      <c r="A39" s="23">
        <v>29</v>
      </c>
      <c r="B39" s="49" t="s">
        <v>2142</v>
      </c>
      <c r="C39" s="15" t="s">
        <v>38</v>
      </c>
      <c r="D39" s="49" t="s">
        <v>228</v>
      </c>
      <c r="E39" s="14" t="s">
        <v>1031</v>
      </c>
      <c r="F39" s="13" t="s">
        <v>1051</v>
      </c>
      <c r="G39" s="13">
        <v>3.5</v>
      </c>
      <c r="H39" s="10">
        <v>0</v>
      </c>
      <c r="I39" s="10">
        <v>0</v>
      </c>
      <c r="J39" s="10">
        <v>5.431</v>
      </c>
      <c r="K39" s="24">
        <f t="shared" si="0"/>
        <v>5.431</v>
      </c>
    </row>
    <row r="40" spans="1:11" s="5" customFormat="1" ht="33" customHeight="1" x14ac:dyDescent="0.25">
      <c r="A40" s="23">
        <v>30</v>
      </c>
      <c r="B40" s="49" t="s">
        <v>2143</v>
      </c>
      <c r="C40" s="15" t="s">
        <v>38</v>
      </c>
      <c r="D40" s="49" t="s">
        <v>229</v>
      </c>
      <c r="E40" s="14" t="s">
        <v>1031</v>
      </c>
      <c r="F40" s="13" t="s">
        <v>1051</v>
      </c>
      <c r="G40" s="13">
        <v>3.5</v>
      </c>
      <c r="H40" s="10">
        <v>0</v>
      </c>
      <c r="I40" s="10">
        <v>0</v>
      </c>
      <c r="J40" s="10">
        <v>1.014</v>
      </c>
      <c r="K40" s="24">
        <f t="shared" si="0"/>
        <v>1.014</v>
      </c>
    </row>
    <row r="41" spans="1:11" s="5" customFormat="1" ht="35.25" customHeight="1" x14ac:dyDescent="0.25">
      <c r="A41" s="23">
        <v>31</v>
      </c>
      <c r="B41" s="49" t="s">
        <v>2144</v>
      </c>
      <c r="C41" s="15" t="s">
        <v>38</v>
      </c>
      <c r="D41" s="49" t="s">
        <v>230</v>
      </c>
      <c r="E41" s="14" t="s">
        <v>1031</v>
      </c>
      <c r="F41" s="13" t="s">
        <v>1051</v>
      </c>
      <c r="G41" s="13">
        <v>3.5</v>
      </c>
      <c r="H41" s="10">
        <v>0.75</v>
      </c>
      <c r="I41" s="10">
        <v>0.75</v>
      </c>
      <c r="J41" s="10">
        <v>0</v>
      </c>
      <c r="K41" s="24">
        <f t="shared" si="0"/>
        <v>0.75</v>
      </c>
    </row>
    <row r="42" spans="1:11" s="5" customFormat="1" ht="48.75" customHeight="1" x14ac:dyDescent="0.25">
      <c r="A42" s="23">
        <v>32</v>
      </c>
      <c r="B42" s="49" t="s">
        <v>2145</v>
      </c>
      <c r="C42" s="15" t="s">
        <v>38</v>
      </c>
      <c r="D42" s="49" t="s">
        <v>231</v>
      </c>
      <c r="E42" s="14" t="s">
        <v>1031</v>
      </c>
      <c r="F42" s="13" t="s">
        <v>1051</v>
      </c>
      <c r="G42" s="13">
        <v>3.5</v>
      </c>
      <c r="H42" s="10">
        <v>0</v>
      </c>
      <c r="I42" s="10">
        <v>0</v>
      </c>
      <c r="J42" s="10">
        <v>1.9</v>
      </c>
      <c r="K42" s="24">
        <f t="shared" si="0"/>
        <v>1.9</v>
      </c>
    </row>
    <row r="43" spans="1:11" s="5" customFormat="1" ht="36" customHeight="1" x14ac:dyDescent="0.25">
      <c r="A43" s="23">
        <v>33</v>
      </c>
      <c r="B43" s="49" t="s">
        <v>2146</v>
      </c>
      <c r="C43" s="15" t="s">
        <v>38</v>
      </c>
      <c r="D43" s="49" t="s">
        <v>232</v>
      </c>
      <c r="E43" s="14" t="s">
        <v>1031</v>
      </c>
      <c r="F43" s="13" t="s">
        <v>1051</v>
      </c>
      <c r="G43" s="13">
        <v>3.5</v>
      </c>
      <c r="H43" s="10">
        <v>0</v>
      </c>
      <c r="I43" s="10">
        <v>0</v>
      </c>
      <c r="J43" s="10">
        <v>1.2849999999999999</v>
      </c>
      <c r="K43" s="24">
        <f t="shared" si="0"/>
        <v>1.2849999999999999</v>
      </c>
    </row>
    <row r="44" spans="1:11" s="5" customFormat="1" ht="39" customHeight="1" x14ac:dyDescent="0.25">
      <c r="A44" s="23">
        <v>34</v>
      </c>
      <c r="B44" s="49" t="s">
        <v>2147</v>
      </c>
      <c r="C44" s="15" t="s">
        <v>38</v>
      </c>
      <c r="D44" s="49" t="s">
        <v>233</v>
      </c>
      <c r="E44" s="14" t="s">
        <v>1031</v>
      </c>
      <c r="F44" s="13" t="s">
        <v>1051</v>
      </c>
      <c r="G44" s="13">
        <v>3.5</v>
      </c>
      <c r="H44" s="10">
        <v>0</v>
      </c>
      <c r="I44" s="10">
        <v>0</v>
      </c>
      <c r="J44" s="10">
        <v>1.1200000000000001</v>
      </c>
      <c r="K44" s="24">
        <f t="shared" si="0"/>
        <v>1.1200000000000001</v>
      </c>
    </row>
    <row r="45" spans="1:11" s="5" customFormat="1" ht="39.75" customHeight="1" x14ac:dyDescent="0.25">
      <c r="A45" s="23">
        <v>35</v>
      </c>
      <c r="B45" s="49" t="s">
        <v>2148</v>
      </c>
      <c r="C45" s="15" t="s">
        <v>38</v>
      </c>
      <c r="D45" s="49" t="s">
        <v>234</v>
      </c>
      <c r="E45" s="14" t="s">
        <v>1031</v>
      </c>
      <c r="F45" s="13" t="s">
        <v>1051</v>
      </c>
      <c r="G45" s="13">
        <v>3.5</v>
      </c>
      <c r="H45" s="10">
        <v>0</v>
      </c>
      <c r="I45" s="10">
        <v>0</v>
      </c>
      <c r="J45" s="10">
        <v>1.242</v>
      </c>
      <c r="K45" s="24">
        <f t="shared" si="0"/>
        <v>1.242</v>
      </c>
    </row>
    <row r="46" spans="1:11" s="5" customFormat="1" ht="35.25" customHeight="1" x14ac:dyDescent="0.25">
      <c r="A46" s="23">
        <v>36</v>
      </c>
      <c r="B46" s="49" t="s">
        <v>2149</v>
      </c>
      <c r="C46" s="15" t="s">
        <v>38</v>
      </c>
      <c r="D46" s="49" t="s">
        <v>235</v>
      </c>
      <c r="E46" s="14" t="s">
        <v>1031</v>
      </c>
      <c r="F46" s="13" t="s">
        <v>1051</v>
      </c>
      <c r="G46" s="13">
        <v>3.5</v>
      </c>
      <c r="H46" s="10">
        <v>3.4009999999999998</v>
      </c>
      <c r="I46" s="10">
        <v>0</v>
      </c>
      <c r="J46" s="10">
        <v>0</v>
      </c>
      <c r="K46" s="24">
        <f t="shared" si="0"/>
        <v>3.4009999999999998</v>
      </c>
    </row>
    <row r="47" spans="1:11" s="5" customFormat="1" ht="36.75" customHeight="1" x14ac:dyDescent="0.25">
      <c r="A47" s="23">
        <v>37</v>
      </c>
      <c r="B47" s="49" t="s">
        <v>2150</v>
      </c>
      <c r="C47" s="15" t="s">
        <v>38</v>
      </c>
      <c r="D47" s="49" t="s">
        <v>236</v>
      </c>
      <c r="E47" s="14" t="s">
        <v>1031</v>
      </c>
      <c r="F47" s="13" t="s">
        <v>1051</v>
      </c>
      <c r="G47" s="13">
        <v>3.5</v>
      </c>
      <c r="H47" s="10">
        <v>2.0760000000000001</v>
      </c>
      <c r="I47" s="10">
        <v>0</v>
      </c>
      <c r="J47" s="10">
        <v>0</v>
      </c>
      <c r="K47" s="24">
        <f t="shared" si="0"/>
        <v>2.0760000000000001</v>
      </c>
    </row>
    <row r="48" spans="1:11" s="5" customFormat="1" ht="35.25" customHeight="1" x14ac:dyDescent="0.25">
      <c r="A48" s="23">
        <v>38</v>
      </c>
      <c r="B48" s="49" t="s">
        <v>2151</v>
      </c>
      <c r="C48" s="15" t="s">
        <v>38</v>
      </c>
      <c r="D48" s="49" t="s">
        <v>237</v>
      </c>
      <c r="E48" s="14" t="s">
        <v>1031</v>
      </c>
      <c r="F48" s="13" t="s">
        <v>1051</v>
      </c>
      <c r="G48" s="13">
        <v>3.5</v>
      </c>
      <c r="H48" s="10">
        <v>0</v>
      </c>
      <c r="I48" s="10">
        <v>0</v>
      </c>
      <c r="J48" s="10">
        <v>5.5289999999999999</v>
      </c>
      <c r="K48" s="24">
        <f t="shared" si="0"/>
        <v>5.5289999999999999</v>
      </c>
    </row>
    <row r="49" spans="1:11" s="5" customFormat="1" ht="36" customHeight="1" x14ac:dyDescent="0.25">
      <c r="A49" s="23">
        <v>39</v>
      </c>
      <c r="B49" s="49" t="s">
        <v>2152</v>
      </c>
      <c r="C49" s="15" t="s">
        <v>38</v>
      </c>
      <c r="D49" s="49" t="s">
        <v>238</v>
      </c>
      <c r="E49" s="14" t="s">
        <v>1031</v>
      </c>
      <c r="F49" s="13" t="s">
        <v>1051</v>
      </c>
      <c r="G49" s="13">
        <v>3.5</v>
      </c>
      <c r="H49" s="10">
        <v>0</v>
      </c>
      <c r="I49" s="10">
        <v>0</v>
      </c>
      <c r="J49" s="10">
        <v>0.61699999999999999</v>
      </c>
      <c r="K49" s="24">
        <f t="shared" si="0"/>
        <v>0.61699999999999999</v>
      </c>
    </row>
    <row r="50" spans="1:11" s="5" customFormat="1" ht="39" customHeight="1" x14ac:dyDescent="0.25">
      <c r="A50" s="23">
        <v>40</v>
      </c>
      <c r="B50" s="49" t="s">
        <v>2153</v>
      </c>
      <c r="C50" s="15" t="s">
        <v>38</v>
      </c>
      <c r="D50" s="49" t="s">
        <v>239</v>
      </c>
      <c r="E50" s="14" t="s">
        <v>1031</v>
      </c>
      <c r="F50" s="13" t="s">
        <v>1051</v>
      </c>
      <c r="G50" s="13">
        <v>3.5</v>
      </c>
      <c r="H50" s="10">
        <v>1.2370000000000001</v>
      </c>
      <c r="I50" s="10">
        <v>0</v>
      </c>
      <c r="J50" s="10">
        <v>0</v>
      </c>
      <c r="K50" s="24">
        <f t="shared" si="0"/>
        <v>1.2370000000000001</v>
      </c>
    </row>
    <row r="51" spans="1:11" s="5" customFormat="1" ht="24" customHeight="1" x14ac:dyDescent="0.25">
      <c r="A51" s="23">
        <v>41</v>
      </c>
      <c r="B51" s="49" t="s">
        <v>2154</v>
      </c>
      <c r="C51" s="15" t="s">
        <v>38</v>
      </c>
      <c r="D51" s="49" t="s">
        <v>240</v>
      </c>
      <c r="E51" s="14" t="s">
        <v>1031</v>
      </c>
      <c r="F51" s="13" t="s">
        <v>1051</v>
      </c>
      <c r="G51" s="13">
        <v>3.5</v>
      </c>
      <c r="H51" s="10">
        <v>0</v>
      </c>
      <c r="I51" s="10">
        <v>0</v>
      </c>
      <c r="J51" s="10">
        <v>4.0110000000000001</v>
      </c>
      <c r="K51" s="24">
        <f t="shared" si="0"/>
        <v>4.0110000000000001</v>
      </c>
    </row>
    <row r="52" spans="1:11" s="5" customFormat="1" ht="33.75" customHeight="1" x14ac:dyDescent="0.25">
      <c r="A52" s="23">
        <v>42</v>
      </c>
      <c r="B52" s="49" t="s">
        <v>2155</v>
      </c>
      <c r="C52" s="15" t="s">
        <v>38</v>
      </c>
      <c r="D52" s="49" t="s">
        <v>241</v>
      </c>
      <c r="E52" s="14" t="s">
        <v>1031</v>
      </c>
      <c r="F52" s="13" t="s">
        <v>1051</v>
      </c>
      <c r="G52" s="13">
        <v>3.5</v>
      </c>
      <c r="H52" s="10">
        <v>0</v>
      </c>
      <c r="I52" s="10">
        <v>0</v>
      </c>
      <c r="J52" s="10">
        <v>5.883</v>
      </c>
      <c r="K52" s="24">
        <f t="shared" si="0"/>
        <v>5.883</v>
      </c>
    </row>
    <row r="53" spans="1:11" s="5" customFormat="1" ht="36" customHeight="1" x14ac:dyDescent="0.25">
      <c r="A53" s="23">
        <v>43</v>
      </c>
      <c r="B53" s="49" t="s">
        <v>2156</v>
      </c>
      <c r="C53" s="15" t="s">
        <v>38</v>
      </c>
      <c r="D53" s="49" t="s">
        <v>242</v>
      </c>
      <c r="E53" s="14" t="s">
        <v>1031</v>
      </c>
      <c r="F53" s="13" t="s">
        <v>1051</v>
      </c>
      <c r="G53" s="13">
        <v>3.5</v>
      </c>
      <c r="H53" s="10">
        <v>1.353</v>
      </c>
      <c r="I53" s="10">
        <v>0</v>
      </c>
      <c r="J53" s="10">
        <v>0</v>
      </c>
      <c r="K53" s="24">
        <f t="shared" si="0"/>
        <v>1.353</v>
      </c>
    </row>
    <row r="54" spans="1:11" s="5" customFormat="1" ht="33.6" customHeight="1" x14ac:dyDescent="0.25">
      <c r="A54" s="23">
        <v>44</v>
      </c>
      <c r="B54" s="49" t="s">
        <v>2157</v>
      </c>
      <c r="C54" s="15" t="s">
        <v>38</v>
      </c>
      <c r="D54" s="49" t="s">
        <v>987</v>
      </c>
      <c r="E54" s="14" t="s">
        <v>1031</v>
      </c>
      <c r="F54" s="13" t="s">
        <v>1051</v>
      </c>
      <c r="G54" s="13">
        <v>3.5</v>
      </c>
      <c r="H54" s="10">
        <v>0</v>
      </c>
      <c r="I54" s="10">
        <v>0</v>
      </c>
      <c r="J54" s="10">
        <v>4.4089999999999998</v>
      </c>
      <c r="K54" s="24">
        <f t="shared" si="0"/>
        <v>4.4089999999999998</v>
      </c>
    </row>
    <row r="55" spans="1:11" s="5" customFormat="1" ht="33.6" customHeight="1" x14ac:dyDescent="0.25">
      <c r="A55" s="23">
        <v>45</v>
      </c>
      <c r="B55" s="49" t="s">
        <v>2158</v>
      </c>
      <c r="C55" s="15" t="s">
        <v>38</v>
      </c>
      <c r="D55" s="49" t="s">
        <v>988</v>
      </c>
      <c r="E55" s="14" t="s">
        <v>1031</v>
      </c>
      <c r="F55" s="13" t="s">
        <v>1051</v>
      </c>
      <c r="G55" s="13">
        <v>3.5</v>
      </c>
      <c r="H55" s="10">
        <v>0</v>
      </c>
      <c r="I55" s="10">
        <v>0</v>
      </c>
      <c r="J55" s="10">
        <v>3.0489999999999999</v>
      </c>
      <c r="K55" s="24">
        <f t="shared" si="0"/>
        <v>3.0489999999999999</v>
      </c>
    </row>
  </sheetData>
  <sheetProtection insertRows="0" deleteRows="0" sort="0"/>
  <mergeCells count="9">
    <mergeCell ref="C1:I1"/>
    <mergeCell ref="K7:K8"/>
    <mergeCell ref="F7:F8"/>
    <mergeCell ref="G7:G8"/>
    <mergeCell ref="A7:A8"/>
    <mergeCell ref="B7:B8"/>
    <mergeCell ref="C7:C8"/>
    <mergeCell ref="D7:D8"/>
    <mergeCell ref="E7:E8"/>
  </mergeCells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9" zoomScaleNormal="100" zoomScaleSheetLayoutView="80" workbookViewId="0">
      <selection activeCell="J23" sqref="J23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3.140625" style="4" customWidth="1"/>
    <col min="4" max="4" width="33.42578125" style="4" customWidth="1"/>
    <col min="5" max="5" width="23" style="4" customWidth="1"/>
    <col min="6" max="6" width="10.42578125" style="4" customWidth="1"/>
    <col min="7" max="7" width="10.140625" style="4" customWidth="1"/>
    <col min="8" max="8" width="13.28515625" style="4" customWidth="1"/>
    <col min="9" max="9" width="15.5703125" style="4" customWidth="1"/>
    <col min="10" max="10" width="11.140625" style="4" customWidth="1"/>
    <col min="11" max="11" width="14.7109375" style="4" customWidth="1"/>
    <col min="12" max="16384" width="9.140625" style="4"/>
  </cols>
  <sheetData>
    <row r="1" spans="1:11" ht="28.9" customHeight="1" x14ac:dyDescent="0.25">
      <c r="B1" s="5"/>
      <c r="C1" s="180" t="s">
        <v>3216</v>
      </c>
      <c r="D1" s="180"/>
      <c r="E1" s="180"/>
      <c r="F1" s="180"/>
      <c r="G1" s="180"/>
      <c r="H1" s="180"/>
      <c r="I1" s="180"/>
      <c r="J1" s="5"/>
    </row>
    <row r="2" spans="1:1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x14ac:dyDescent="0.25">
      <c r="C4" s="152"/>
      <c r="D4" s="152"/>
      <c r="E4" s="152"/>
      <c r="F4" s="152"/>
      <c r="G4" s="152"/>
      <c r="H4" s="152"/>
      <c r="I4" s="152"/>
      <c r="K4" s="153" t="s">
        <v>3217</v>
      </c>
    </row>
    <row r="5" spans="1:11" x14ac:dyDescent="0.25">
      <c r="K5" s="153" t="s">
        <v>3218</v>
      </c>
    </row>
    <row r="6" spans="1:11" x14ac:dyDescent="0.25">
      <c r="D6" s="46"/>
    </row>
    <row r="7" spans="1:11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43"/>
      <c r="I7" s="44" t="s">
        <v>16</v>
      </c>
      <c r="J7" s="42"/>
      <c r="K7" s="178" t="s">
        <v>5</v>
      </c>
    </row>
    <row r="8" spans="1:11" s="5" customFormat="1" ht="60" customHeight="1" thickBot="1" x14ac:dyDescent="0.3">
      <c r="A8" s="184"/>
      <c r="B8" s="184"/>
      <c r="C8" s="184"/>
      <c r="D8" s="184"/>
      <c r="E8" s="184"/>
      <c r="F8" s="184"/>
      <c r="G8" s="179"/>
      <c r="H8" s="25" t="s">
        <v>3</v>
      </c>
      <c r="I8" s="25" t="s">
        <v>24</v>
      </c>
      <c r="J8" s="31" t="s">
        <v>4</v>
      </c>
      <c r="K8" s="184"/>
    </row>
    <row r="9" spans="1:11" s="5" customFormat="1" ht="21.75" customHeight="1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8">
        <v>9</v>
      </c>
      <c r="J9" s="28">
        <v>10</v>
      </c>
      <c r="K9" s="30">
        <v>11</v>
      </c>
    </row>
    <row r="10" spans="1:11" s="5" customFormat="1" ht="29.25" customHeight="1" x14ac:dyDescent="0.25">
      <c r="A10" s="18" t="s">
        <v>2</v>
      </c>
      <c r="B10" s="19"/>
      <c r="C10" s="19"/>
      <c r="D10" s="19"/>
      <c r="E10" s="19"/>
      <c r="F10" s="20"/>
      <c r="G10" s="20"/>
      <c r="H10" s="21">
        <f>SUM(H11:H309)</f>
        <v>19.397999999999996</v>
      </c>
      <c r="I10" s="21">
        <f>SUM(I11:I309)</f>
        <v>7.8970000000000002</v>
      </c>
      <c r="J10" s="21">
        <f>SUM(J11:J309)</f>
        <v>20.144000000000002</v>
      </c>
      <c r="K10" s="22">
        <f>SUM(K11:K35)</f>
        <v>39.541999999999994</v>
      </c>
    </row>
    <row r="11" spans="1:11" s="5" customFormat="1" ht="31.9" customHeight="1" x14ac:dyDescent="0.25">
      <c r="A11" s="23">
        <v>1</v>
      </c>
      <c r="B11" s="49" t="s">
        <v>2159</v>
      </c>
      <c r="C11" s="15" t="s">
        <v>39</v>
      </c>
      <c r="D11" s="7" t="s">
        <v>328</v>
      </c>
      <c r="E11" s="14" t="s">
        <v>1033</v>
      </c>
      <c r="F11" s="13" t="s">
        <v>1051</v>
      </c>
      <c r="G11" s="13">
        <v>4.5</v>
      </c>
      <c r="H11" s="10">
        <v>2.6589999999999998</v>
      </c>
      <c r="I11" s="10">
        <v>2.6589999999999998</v>
      </c>
      <c r="J11" s="10">
        <v>0</v>
      </c>
      <c r="K11" s="24">
        <f>SUM(J11,H11)</f>
        <v>2.6589999999999998</v>
      </c>
    </row>
    <row r="12" spans="1:11" s="5" customFormat="1" ht="30" customHeight="1" x14ac:dyDescent="0.25">
      <c r="A12" s="23">
        <v>2</v>
      </c>
      <c r="B12" s="49" t="s">
        <v>2160</v>
      </c>
      <c r="C12" s="15" t="s">
        <v>39</v>
      </c>
      <c r="D12" s="7" t="s">
        <v>329</v>
      </c>
      <c r="E12" s="14" t="s">
        <v>1033</v>
      </c>
      <c r="F12" s="13" t="s">
        <v>1114</v>
      </c>
      <c r="G12" s="13">
        <v>6</v>
      </c>
      <c r="H12" s="10">
        <v>1.45</v>
      </c>
      <c r="I12" s="10">
        <v>1.45</v>
      </c>
      <c r="J12" s="10">
        <v>0</v>
      </c>
      <c r="K12" s="24">
        <f t="shared" ref="K12:K34" si="0">SUM(J12,H12)</f>
        <v>1.45</v>
      </c>
    </row>
    <row r="13" spans="1:11" s="5" customFormat="1" ht="38.450000000000003" customHeight="1" x14ac:dyDescent="0.25">
      <c r="A13" s="23">
        <v>3</v>
      </c>
      <c r="B13" s="49" t="s">
        <v>2161</v>
      </c>
      <c r="C13" s="15" t="s">
        <v>38</v>
      </c>
      <c r="D13" s="7" t="s">
        <v>1621</v>
      </c>
      <c r="E13" s="14" t="s">
        <v>1033</v>
      </c>
      <c r="F13" s="13" t="s">
        <v>1051</v>
      </c>
      <c r="G13" s="13">
        <v>4</v>
      </c>
      <c r="H13" s="10">
        <v>4.4999999999999998E-2</v>
      </c>
      <c r="I13" s="10">
        <v>0</v>
      </c>
      <c r="J13" s="10">
        <v>0</v>
      </c>
      <c r="K13" s="24">
        <f t="shared" si="0"/>
        <v>4.4999999999999998E-2</v>
      </c>
    </row>
    <row r="14" spans="1:11" s="5" customFormat="1" ht="30.6" customHeight="1" x14ac:dyDescent="0.25">
      <c r="A14" s="23">
        <v>4</v>
      </c>
      <c r="B14" s="49" t="s">
        <v>2162</v>
      </c>
      <c r="C14" s="15" t="s">
        <v>39</v>
      </c>
      <c r="D14" s="7" t="s">
        <v>330</v>
      </c>
      <c r="E14" s="14" t="s">
        <v>1033</v>
      </c>
      <c r="F14" s="13" t="s">
        <v>1051</v>
      </c>
      <c r="G14" s="13">
        <v>4.5</v>
      </c>
      <c r="H14" s="10">
        <f>0.265+0.144</f>
        <v>0.40900000000000003</v>
      </c>
      <c r="I14" s="10">
        <f>0.265+0.144</f>
        <v>0.40900000000000003</v>
      </c>
      <c r="J14" s="10">
        <v>0</v>
      </c>
      <c r="K14" s="24">
        <f t="shared" si="0"/>
        <v>0.40900000000000003</v>
      </c>
    </row>
    <row r="15" spans="1:11" s="5" customFormat="1" ht="30.6" customHeight="1" x14ac:dyDescent="0.25">
      <c r="A15" s="23">
        <v>5</v>
      </c>
      <c r="B15" s="49" t="s">
        <v>2163</v>
      </c>
      <c r="C15" s="15" t="s">
        <v>39</v>
      </c>
      <c r="D15" s="7" t="s">
        <v>331</v>
      </c>
      <c r="E15" s="14" t="s">
        <v>1033</v>
      </c>
      <c r="F15" s="13" t="s">
        <v>1051</v>
      </c>
      <c r="G15" s="13">
        <v>4.5</v>
      </c>
      <c r="H15" s="10">
        <v>0.3</v>
      </c>
      <c r="I15" s="10">
        <v>0.3</v>
      </c>
      <c r="J15" s="10">
        <v>0</v>
      </c>
      <c r="K15" s="24">
        <f t="shared" si="0"/>
        <v>0.3</v>
      </c>
    </row>
    <row r="16" spans="1:11" s="5" customFormat="1" ht="29.45" customHeight="1" x14ac:dyDescent="0.25">
      <c r="A16" s="23">
        <v>6</v>
      </c>
      <c r="B16" s="49" t="s">
        <v>2164</v>
      </c>
      <c r="C16" s="15" t="s">
        <v>39</v>
      </c>
      <c r="D16" s="7" t="s">
        <v>332</v>
      </c>
      <c r="E16" s="14" t="s">
        <v>1033</v>
      </c>
      <c r="F16" s="13" t="s">
        <v>1051</v>
      </c>
      <c r="G16" s="13">
        <v>4.5</v>
      </c>
      <c r="H16" s="10">
        <v>0.3</v>
      </c>
      <c r="I16" s="10">
        <v>0.3</v>
      </c>
      <c r="J16" s="10">
        <v>0</v>
      </c>
      <c r="K16" s="24">
        <f t="shared" si="0"/>
        <v>0.3</v>
      </c>
    </row>
    <row r="17" spans="1:11" s="5" customFormat="1" ht="30.6" customHeight="1" x14ac:dyDescent="0.25">
      <c r="A17" s="23">
        <v>7</v>
      </c>
      <c r="B17" s="49" t="s">
        <v>2165</v>
      </c>
      <c r="C17" s="15" t="s">
        <v>39</v>
      </c>
      <c r="D17" s="7" t="s">
        <v>333</v>
      </c>
      <c r="E17" s="14" t="s">
        <v>1033</v>
      </c>
      <c r="F17" s="13" t="s">
        <v>1051</v>
      </c>
      <c r="G17" s="13">
        <v>4.5</v>
      </c>
      <c r="H17" s="10">
        <v>0.86499999999999999</v>
      </c>
      <c r="I17" s="10">
        <v>0.66200000000000003</v>
      </c>
      <c r="J17" s="10">
        <v>0</v>
      </c>
      <c r="K17" s="24">
        <f t="shared" si="0"/>
        <v>0.86499999999999999</v>
      </c>
    </row>
    <row r="18" spans="1:11" s="5" customFormat="1" ht="36" customHeight="1" x14ac:dyDescent="0.25">
      <c r="A18" s="23">
        <v>8</v>
      </c>
      <c r="B18" s="49" t="s">
        <v>2166</v>
      </c>
      <c r="C18" s="15" t="s">
        <v>38</v>
      </c>
      <c r="D18" s="7" t="s">
        <v>334</v>
      </c>
      <c r="E18" s="14" t="s">
        <v>1033</v>
      </c>
      <c r="F18" s="13" t="s">
        <v>1051</v>
      </c>
      <c r="G18" s="13">
        <v>4.5</v>
      </c>
      <c r="H18" s="10">
        <v>0.68400000000000005</v>
      </c>
      <c r="I18" s="10">
        <v>0</v>
      </c>
      <c r="J18" s="10">
        <v>0</v>
      </c>
      <c r="K18" s="24">
        <f t="shared" si="0"/>
        <v>0.68400000000000005</v>
      </c>
    </row>
    <row r="19" spans="1:11" s="5" customFormat="1" ht="28.9" customHeight="1" x14ac:dyDescent="0.25">
      <c r="A19" s="23">
        <v>9</v>
      </c>
      <c r="B19" s="49" t="s">
        <v>2167</v>
      </c>
      <c r="C19" s="15" t="s">
        <v>39</v>
      </c>
      <c r="D19" s="7" t="s">
        <v>335</v>
      </c>
      <c r="E19" s="14" t="s">
        <v>1033</v>
      </c>
      <c r="F19" s="13" t="s">
        <v>1051</v>
      </c>
      <c r="G19" s="13">
        <v>4</v>
      </c>
      <c r="H19" s="10">
        <f>0.584+0.21</f>
        <v>0.79399999999999993</v>
      </c>
      <c r="I19" s="10">
        <v>0.79400000000000004</v>
      </c>
      <c r="J19" s="10">
        <v>0</v>
      </c>
      <c r="K19" s="24">
        <f t="shared" si="0"/>
        <v>0.79399999999999993</v>
      </c>
    </row>
    <row r="20" spans="1:11" s="5" customFormat="1" ht="28.9" customHeight="1" x14ac:dyDescent="0.25">
      <c r="A20" s="23">
        <v>10</v>
      </c>
      <c r="B20" s="49" t="s">
        <v>2168</v>
      </c>
      <c r="C20" s="15" t="s">
        <v>38</v>
      </c>
      <c r="D20" s="7" t="s">
        <v>1623</v>
      </c>
      <c r="E20" s="14" t="s">
        <v>1033</v>
      </c>
      <c r="F20" s="13" t="s">
        <v>1051</v>
      </c>
      <c r="G20" s="13">
        <v>4</v>
      </c>
      <c r="H20" s="10">
        <v>7.2999999999999995E-2</v>
      </c>
      <c r="I20" s="10">
        <v>0</v>
      </c>
      <c r="J20" s="10">
        <v>0</v>
      </c>
      <c r="K20" s="24">
        <f t="shared" si="0"/>
        <v>7.2999999999999995E-2</v>
      </c>
    </row>
    <row r="21" spans="1:11" s="5" customFormat="1" ht="34.9" customHeight="1" x14ac:dyDescent="0.25">
      <c r="A21" s="23">
        <v>11</v>
      </c>
      <c r="B21" s="49" t="s">
        <v>2169</v>
      </c>
      <c r="C21" s="15" t="s">
        <v>38</v>
      </c>
      <c r="D21" s="7" t="s">
        <v>336</v>
      </c>
      <c r="E21" s="14" t="s">
        <v>1033</v>
      </c>
      <c r="F21" s="13" t="s">
        <v>1051</v>
      </c>
      <c r="G21" s="13">
        <v>4.5</v>
      </c>
      <c r="H21" s="10">
        <v>0.42299999999999999</v>
      </c>
      <c r="I21" s="10">
        <v>0.42299999999999999</v>
      </c>
      <c r="J21" s="10">
        <v>0</v>
      </c>
      <c r="K21" s="24">
        <f t="shared" si="0"/>
        <v>0.42299999999999999</v>
      </c>
    </row>
    <row r="22" spans="1:11" s="5" customFormat="1" ht="37.5" customHeight="1" x14ac:dyDescent="0.25">
      <c r="A22" s="23">
        <v>12</v>
      </c>
      <c r="B22" s="49" t="s">
        <v>2170</v>
      </c>
      <c r="C22" s="15" t="s">
        <v>38</v>
      </c>
      <c r="D22" s="7" t="s">
        <v>337</v>
      </c>
      <c r="E22" s="14" t="s">
        <v>1033</v>
      </c>
      <c r="F22" s="13" t="s">
        <v>1051</v>
      </c>
      <c r="G22" s="13">
        <v>3.5</v>
      </c>
      <c r="H22" s="10">
        <v>1.3540000000000001</v>
      </c>
      <c r="I22" s="10">
        <v>0</v>
      </c>
      <c r="J22" s="10">
        <v>0</v>
      </c>
      <c r="K22" s="24">
        <f t="shared" si="0"/>
        <v>1.3540000000000001</v>
      </c>
    </row>
    <row r="23" spans="1:11" s="5" customFormat="1" ht="31.5" customHeight="1" x14ac:dyDescent="0.25">
      <c r="A23" s="23">
        <v>13</v>
      </c>
      <c r="B23" s="49" t="s">
        <v>2171</v>
      </c>
      <c r="C23" s="15" t="s">
        <v>39</v>
      </c>
      <c r="D23" s="7" t="s">
        <v>338</v>
      </c>
      <c r="E23" s="14" t="s">
        <v>1033</v>
      </c>
      <c r="F23" s="13" t="s">
        <v>1051</v>
      </c>
      <c r="G23" s="13">
        <v>4</v>
      </c>
      <c r="H23" s="10">
        <v>1.5720000000000001</v>
      </c>
      <c r="I23" s="10">
        <v>0</v>
      </c>
      <c r="J23" s="10">
        <v>0.32800000000000001</v>
      </c>
      <c r="K23" s="24">
        <f t="shared" si="0"/>
        <v>1.9000000000000001</v>
      </c>
    </row>
    <row r="24" spans="1:11" s="5" customFormat="1" ht="35.25" customHeight="1" x14ac:dyDescent="0.25">
      <c r="A24" s="23">
        <v>14</v>
      </c>
      <c r="B24" s="49" t="s">
        <v>2172</v>
      </c>
      <c r="C24" s="15" t="s">
        <v>39</v>
      </c>
      <c r="D24" s="7" t="s">
        <v>339</v>
      </c>
      <c r="E24" s="14" t="s">
        <v>1033</v>
      </c>
      <c r="F24" s="13" t="s">
        <v>1051</v>
      </c>
      <c r="G24" s="13">
        <v>4</v>
      </c>
      <c r="H24" s="10">
        <v>1.385</v>
      </c>
      <c r="I24" s="10">
        <v>0</v>
      </c>
      <c r="J24" s="10">
        <v>0.45</v>
      </c>
      <c r="K24" s="24">
        <f t="shared" si="0"/>
        <v>1.835</v>
      </c>
    </row>
    <row r="25" spans="1:11" s="5" customFormat="1" ht="27.6" customHeight="1" x14ac:dyDescent="0.25">
      <c r="A25" s="23">
        <v>15</v>
      </c>
      <c r="B25" s="49" t="s">
        <v>2173</v>
      </c>
      <c r="C25" s="15" t="s">
        <v>39</v>
      </c>
      <c r="D25" s="7" t="s">
        <v>340</v>
      </c>
      <c r="E25" s="14" t="s">
        <v>1033</v>
      </c>
      <c r="F25" s="13" t="s">
        <v>1051</v>
      </c>
      <c r="G25" s="13">
        <v>3</v>
      </c>
      <c r="H25" s="10">
        <v>1.5269999999999999</v>
      </c>
      <c r="I25" s="10">
        <v>0.9</v>
      </c>
      <c r="J25" s="10">
        <v>0</v>
      </c>
      <c r="K25" s="24">
        <f t="shared" si="0"/>
        <v>1.5269999999999999</v>
      </c>
    </row>
    <row r="26" spans="1:11" s="5" customFormat="1" ht="33" customHeight="1" x14ac:dyDescent="0.25">
      <c r="A26" s="23">
        <v>16</v>
      </c>
      <c r="B26" s="49" t="s">
        <v>2174</v>
      </c>
      <c r="C26" s="15" t="s">
        <v>38</v>
      </c>
      <c r="D26" s="7" t="s">
        <v>1622</v>
      </c>
      <c r="E26" s="14" t="s">
        <v>1033</v>
      </c>
      <c r="F26" s="13" t="s">
        <v>1051</v>
      </c>
      <c r="G26" s="13">
        <v>3.5</v>
      </c>
      <c r="H26" s="10">
        <v>0.2</v>
      </c>
      <c r="I26" s="10">
        <v>0</v>
      </c>
      <c r="J26" s="10">
        <v>0</v>
      </c>
      <c r="K26" s="24">
        <f t="shared" si="0"/>
        <v>0.2</v>
      </c>
    </row>
    <row r="27" spans="1:11" s="5" customFormat="1" ht="32.450000000000003" customHeight="1" x14ac:dyDescent="0.25">
      <c r="A27" s="23">
        <v>17</v>
      </c>
      <c r="B27" s="49" t="s">
        <v>2175</v>
      </c>
      <c r="C27" s="15" t="s">
        <v>39</v>
      </c>
      <c r="D27" s="7" t="s">
        <v>341</v>
      </c>
      <c r="E27" s="14" t="s">
        <v>1033</v>
      </c>
      <c r="F27" s="13" t="s">
        <v>1051</v>
      </c>
      <c r="G27" s="13">
        <v>3.5</v>
      </c>
      <c r="H27" s="10">
        <v>1.1040000000000001</v>
      </c>
      <c r="I27" s="10">
        <v>0</v>
      </c>
      <c r="J27" s="10">
        <v>0.378</v>
      </c>
      <c r="K27" s="24">
        <f t="shared" si="0"/>
        <v>1.4820000000000002</v>
      </c>
    </row>
    <row r="28" spans="1:11" s="5" customFormat="1" ht="37.5" customHeight="1" x14ac:dyDescent="0.25">
      <c r="A28" s="23">
        <v>18</v>
      </c>
      <c r="B28" s="49" t="s">
        <v>2176</v>
      </c>
      <c r="C28" s="15" t="s">
        <v>39</v>
      </c>
      <c r="D28" s="7" t="s">
        <v>342</v>
      </c>
      <c r="E28" s="14" t="s">
        <v>1033</v>
      </c>
      <c r="F28" s="13" t="s">
        <v>1051</v>
      </c>
      <c r="G28" s="13">
        <v>3.5</v>
      </c>
      <c r="H28" s="10">
        <f>0.534+0.62</f>
        <v>1.1539999999999999</v>
      </c>
      <c r="I28" s="10">
        <v>0</v>
      </c>
      <c r="J28" s="10">
        <v>0</v>
      </c>
      <c r="K28" s="24">
        <f t="shared" si="0"/>
        <v>1.1539999999999999</v>
      </c>
    </row>
    <row r="29" spans="1:11" s="5" customFormat="1" ht="29.45" customHeight="1" x14ac:dyDescent="0.25">
      <c r="A29" s="23">
        <v>19</v>
      </c>
      <c r="B29" s="49" t="s">
        <v>2177</v>
      </c>
      <c r="C29" s="15" t="s">
        <v>38</v>
      </c>
      <c r="D29" s="7" t="s">
        <v>343</v>
      </c>
      <c r="E29" s="14" t="s">
        <v>1033</v>
      </c>
      <c r="F29" s="13" t="s">
        <v>1051</v>
      </c>
      <c r="G29" s="13">
        <v>3.5</v>
      </c>
      <c r="H29" s="10">
        <v>0</v>
      </c>
      <c r="I29" s="10">
        <v>0</v>
      </c>
      <c r="J29" s="10">
        <v>3.54</v>
      </c>
      <c r="K29" s="24">
        <f t="shared" si="0"/>
        <v>3.54</v>
      </c>
    </row>
    <row r="30" spans="1:11" s="5" customFormat="1" ht="34.5" customHeight="1" x14ac:dyDescent="0.25">
      <c r="A30" s="23">
        <v>20</v>
      </c>
      <c r="B30" s="49" t="s">
        <v>2178</v>
      </c>
      <c r="C30" s="15" t="s">
        <v>38</v>
      </c>
      <c r="D30" s="7" t="s">
        <v>346</v>
      </c>
      <c r="E30" s="14" t="s">
        <v>1033</v>
      </c>
      <c r="F30" s="13" t="s">
        <v>1051</v>
      </c>
      <c r="G30" s="13">
        <v>3.5</v>
      </c>
      <c r="H30" s="10">
        <v>0</v>
      </c>
      <c r="I30" s="10">
        <v>0</v>
      </c>
      <c r="J30" s="10">
        <v>1.61</v>
      </c>
      <c r="K30" s="24">
        <f t="shared" si="0"/>
        <v>1.61</v>
      </c>
    </row>
    <row r="31" spans="1:11" s="5" customFormat="1" ht="27.6" customHeight="1" x14ac:dyDescent="0.25">
      <c r="A31" s="23">
        <v>21</v>
      </c>
      <c r="B31" s="49" t="s">
        <v>2179</v>
      </c>
      <c r="C31" s="15" t="s">
        <v>38</v>
      </c>
      <c r="D31" s="7" t="s">
        <v>344</v>
      </c>
      <c r="E31" s="14" t="s">
        <v>1033</v>
      </c>
      <c r="F31" s="13" t="s">
        <v>1051</v>
      </c>
      <c r="G31" s="13">
        <v>3.5</v>
      </c>
      <c r="H31" s="10">
        <v>0</v>
      </c>
      <c r="I31" s="10">
        <v>0</v>
      </c>
      <c r="J31" s="10">
        <v>3.6360000000000001</v>
      </c>
      <c r="K31" s="24">
        <f t="shared" si="0"/>
        <v>3.6360000000000001</v>
      </c>
    </row>
    <row r="32" spans="1:11" s="5" customFormat="1" ht="28.9" customHeight="1" x14ac:dyDescent="0.25">
      <c r="A32" s="23">
        <v>22</v>
      </c>
      <c r="B32" s="49" t="s">
        <v>2180</v>
      </c>
      <c r="C32" s="15" t="s">
        <v>38</v>
      </c>
      <c r="D32" s="7" t="s">
        <v>345</v>
      </c>
      <c r="E32" s="14" t="s">
        <v>1033</v>
      </c>
      <c r="F32" s="13" t="s">
        <v>1051</v>
      </c>
      <c r="G32" s="13">
        <v>3.5</v>
      </c>
      <c r="H32" s="10">
        <v>0</v>
      </c>
      <c r="I32" s="10">
        <v>0</v>
      </c>
      <c r="J32" s="10">
        <v>3.3420000000000001</v>
      </c>
      <c r="K32" s="24">
        <f t="shared" si="0"/>
        <v>3.3420000000000001</v>
      </c>
    </row>
    <row r="33" spans="1:11" s="5" customFormat="1" ht="34.5" customHeight="1" x14ac:dyDescent="0.25">
      <c r="A33" s="23">
        <v>23</v>
      </c>
      <c r="B33" s="49" t="s">
        <v>2181</v>
      </c>
      <c r="C33" s="15" t="s">
        <v>38</v>
      </c>
      <c r="D33" s="7" t="s">
        <v>3288</v>
      </c>
      <c r="E33" s="14" t="s">
        <v>1033</v>
      </c>
      <c r="F33" s="13" t="s">
        <v>1051</v>
      </c>
      <c r="G33" s="13">
        <v>3.5</v>
      </c>
      <c r="H33" s="10">
        <v>0</v>
      </c>
      <c r="I33" s="10">
        <v>0</v>
      </c>
      <c r="J33" s="10">
        <v>2.66</v>
      </c>
      <c r="K33" s="24">
        <f t="shared" si="0"/>
        <v>2.66</v>
      </c>
    </row>
    <row r="34" spans="1:11" s="5" customFormat="1" ht="31.15" customHeight="1" x14ac:dyDescent="0.25">
      <c r="A34" s="23">
        <v>24</v>
      </c>
      <c r="B34" s="49" t="s">
        <v>2182</v>
      </c>
      <c r="C34" s="15" t="s">
        <v>38</v>
      </c>
      <c r="D34" s="7" t="s">
        <v>347</v>
      </c>
      <c r="E34" s="14" t="s">
        <v>1033</v>
      </c>
      <c r="F34" s="13" t="s">
        <v>1051</v>
      </c>
      <c r="G34" s="13">
        <v>3.5</v>
      </c>
      <c r="H34" s="10">
        <v>0</v>
      </c>
      <c r="I34" s="10">
        <v>0</v>
      </c>
      <c r="J34" s="10">
        <v>4.2</v>
      </c>
      <c r="K34" s="24">
        <f t="shared" si="0"/>
        <v>4.2</v>
      </c>
    </row>
    <row r="35" spans="1:11" s="5" customFormat="1" ht="34.15" customHeight="1" x14ac:dyDescent="0.25">
      <c r="A35" s="23">
        <v>25</v>
      </c>
      <c r="B35" s="49" t="s">
        <v>2183</v>
      </c>
      <c r="C35" s="15" t="s">
        <v>38</v>
      </c>
      <c r="D35" s="7" t="s">
        <v>1034</v>
      </c>
      <c r="E35" s="14" t="s">
        <v>1033</v>
      </c>
      <c r="F35" s="13" t="s">
        <v>1051</v>
      </c>
      <c r="G35" s="13">
        <v>4</v>
      </c>
      <c r="H35" s="10">
        <v>3.1</v>
      </c>
      <c r="I35" s="10">
        <v>0</v>
      </c>
      <c r="J35" s="10">
        <v>0</v>
      </c>
      <c r="K35" s="24">
        <f t="shared" ref="K35" si="1">SUM(J35,H35)</f>
        <v>3.1</v>
      </c>
    </row>
  </sheetData>
  <sheetProtection insertRows="0" deleteRows="0" sort="0"/>
  <mergeCells count="9">
    <mergeCell ref="C1:I1"/>
    <mergeCell ref="K7:K8"/>
    <mergeCell ref="G7:G8"/>
    <mergeCell ref="F7:F8"/>
    <mergeCell ref="A7:A8"/>
    <mergeCell ref="B7:B8"/>
    <mergeCell ref="C7:C8"/>
    <mergeCell ref="D7:D8"/>
    <mergeCell ref="E7:E8"/>
  </mergeCells>
  <conditionalFormatting sqref="K11:K35">
    <cfRule type="expression" dxfId="26" priority="2">
      <formula>$H11+$J11&lt;&gt;$K11</formula>
    </cfRule>
  </conditionalFormatting>
  <conditionalFormatting sqref="H10:K10">
    <cfRule type="expression" dxfId="25" priority="249">
      <formula>H$10&lt;&gt;SUM(H$11:H$309)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opLeftCell="A55" zoomScaleNormal="100" zoomScaleSheetLayoutView="80" workbookViewId="0">
      <selection activeCell="J55" sqref="J55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4.140625" style="4" customWidth="1"/>
    <col min="5" max="5" width="20.140625" style="4" customWidth="1"/>
    <col min="6" max="6" width="10.42578125" style="4" customWidth="1"/>
    <col min="7" max="7" width="9.140625" style="4" customWidth="1"/>
    <col min="8" max="8" width="12.28515625" style="4" customWidth="1"/>
    <col min="9" max="9" width="15.5703125" style="4" customWidth="1"/>
    <col min="10" max="10" width="11.5703125" style="4" customWidth="1"/>
    <col min="11" max="11" width="15.28515625" style="4" customWidth="1"/>
    <col min="12" max="16384" width="9.140625" style="4"/>
  </cols>
  <sheetData>
    <row r="1" spans="1:11" ht="28.9" customHeight="1" x14ac:dyDescent="0.25">
      <c r="B1" s="5"/>
      <c r="C1" s="180" t="s">
        <v>3239</v>
      </c>
      <c r="D1" s="180"/>
      <c r="E1" s="180"/>
      <c r="F1" s="180"/>
      <c r="G1" s="180"/>
      <c r="H1" s="180"/>
      <c r="I1" s="180"/>
      <c r="J1" s="5"/>
    </row>
    <row r="2" spans="1:1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x14ac:dyDescent="0.25">
      <c r="C4" s="152"/>
      <c r="D4" s="152"/>
      <c r="E4" s="152"/>
      <c r="F4" s="152"/>
      <c r="G4" s="152"/>
      <c r="H4" s="152"/>
      <c r="I4" s="152"/>
      <c r="K4" s="153" t="s">
        <v>3240</v>
      </c>
    </row>
    <row r="5" spans="1:11" x14ac:dyDescent="0.25">
      <c r="K5" s="153" t="s">
        <v>3241</v>
      </c>
    </row>
    <row r="7" spans="1:11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43"/>
      <c r="I7" s="44" t="s">
        <v>16</v>
      </c>
      <c r="J7" s="42"/>
      <c r="K7" s="178" t="s">
        <v>1029</v>
      </c>
    </row>
    <row r="8" spans="1:11" s="5" customFormat="1" ht="60" customHeight="1" thickBot="1" x14ac:dyDescent="0.3">
      <c r="A8" s="184"/>
      <c r="B8" s="184"/>
      <c r="C8" s="184"/>
      <c r="D8" s="184"/>
      <c r="E8" s="184"/>
      <c r="F8" s="184"/>
      <c r="G8" s="179"/>
      <c r="H8" s="25" t="s">
        <v>3</v>
      </c>
      <c r="I8" s="25" t="s">
        <v>24</v>
      </c>
      <c r="J8" s="38" t="s">
        <v>4</v>
      </c>
      <c r="K8" s="184"/>
    </row>
    <row r="9" spans="1:11" s="5" customFormat="1" ht="21.75" customHeight="1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8">
        <v>9</v>
      </c>
      <c r="J9" s="28">
        <v>10</v>
      </c>
      <c r="K9" s="30">
        <v>11</v>
      </c>
    </row>
    <row r="10" spans="1:11" s="5" customFormat="1" ht="29.25" customHeight="1" x14ac:dyDescent="0.25">
      <c r="A10" s="18" t="s">
        <v>2</v>
      </c>
      <c r="B10" s="19"/>
      <c r="C10" s="19"/>
      <c r="D10" s="19"/>
      <c r="E10" s="19"/>
      <c r="F10" s="20"/>
      <c r="G10" s="20"/>
      <c r="H10" s="21">
        <f>SUM(H11:H259)</f>
        <v>40.270000000000003</v>
      </c>
      <c r="I10" s="21">
        <f>SUM(I11:I259)</f>
        <v>11.877999999999998</v>
      </c>
      <c r="J10" s="21">
        <f>SUM(J11:J259)</f>
        <v>46.938000000000002</v>
      </c>
      <c r="K10" s="22">
        <f>SUM(K11:K259)</f>
        <v>87.20799999999997</v>
      </c>
    </row>
    <row r="11" spans="1:11" s="5" customFormat="1" ht="29.25" customHeight="1" x14ac:dyDescent="0.25">
      <c r="A11" s="23">
        <v>1</v>
      </c>
      <c r="B11" s="49" t="s">
        <v>3162</v>
      </c>
      <c r="C11" s="15" t="s">
        <v>39</v>
      </c>
      <c r="D11" s="7" t="s">
        <v>874</v>
      </c>
      <c r="E11" s="14" t="s">
        <v>1035</v>
      </c>
      <c r="F11" s="13" t="s">
        <v>1051</v>
      </c>
      <c r="G11" s="13">
        <v>4</v>
      </c>
      <c r="H11" s="10">
        <f>0.554+1.515</f>
        <v>2.069</v>
      </c>
      <c r="I11" s="10">
        <v>0.55400000000000005</v>
      </c>
      <c r="J11" s="10">
        <v>2.5950000000000002</v>
      </c>
      <c r="K11" s="24">
        <f>SUM(J11,H11)</f>
        <v>4.6639999999999997</v>
      </c>
    </row>
    <row r="12" spans="1:11" s="5" customFormat="1" ht="28.9" customHeight="1" x14ac:dyDescent="0.25">
      <c r="A12" s="23">
        <v>2</v>
      </c>
      <c r="B12" s="49" t="s">
        <v>3163</v>
      </c>
      <c r="C12" s="15" t="s">
        <v>39</v>
      </c>
      <c r="D12" s="7" t="s">
        <v>875</v>
      </c>
      <c r="E12" s="14" t="s">
        <v>1035</v>
      </c>
      <c r="F12" s="13" t="s">
        <v>1051</v>
      </c>
      <c r="G12" s="13">
        <v>4</v>
      </c>
      <c r="H12" s="10">
        <v>0.36499999999999999</v>
      </c>
      <c r="I12" s="10">
        <v>0</v>
      </c>
      <c r="J12" s="10">
        <v>0</v>
      </c>
      <c r="K12" s="24">
        <f t="shared" ref="K12:K55" si="0">SUM(J12,H12)</f>
        <v>0.36499999999999999</v>
      </c>
    </row>
    <row r="13" spans="1:11" s="5" customFormat="1" ht="32.450000000000003" customHeight="1" x14ac:dyDescent="0.25">
      <c r="A13" s="23">
        <v>3</v>
      </c>
      <c r="B13" s="49" t="s">
        <v>3164</v>
      </c>
      <c r="C13" s="15" t="s">
        <v>976</v>
      </c>
      <c r="D13" s="7" t="s">
        <v>876</v>
      </c>
      <c r="E13" s="14" t="s">
        <v>1035</v>
      </c>
      <c r="F13" s="13" t="s">
        <v>1051</v>
      </c>
      <c r="G13" s="13">
        <v>3.5</v>
      </c>
      <c r="H13" s="10">
        <v>0.55300000000000005</v>
      </c>
      <c r="I13" s="10">
        <v>0</v>
      </c>
      <c r="J13" s="10">
        <v>0</v>
      </c>
      <c r="K13" s="24">
        <f t="shared" si="0"/>
        <v>0.55300000000000005</v>
      </c>
    </row>
    <row r="14" spans="1:11" s="5" customFormat="1" ht="27.6" customHeight="1" x14ac:dyDescent="0.25">
      <c r="A14" s="23">
        <v>4</v>
      </c>
      <c r="B14" s="49" t="s">
        <v>3165</v>
      </c>
      <c r="C14" s="15" t="s">
        <v>976</v>
      </c>
      <c r="D14" s="7" t="s">
        <v>877</v>
      </c>
      <c r="E14" s="14" t="s">
        <v>1035</v>
      </c>
      <c r="F14" s="13" t="s">
        <v>1051</v>
      </c>
      <c r="G14" s="13">
        <v>3.5</v>
      </c>
      <c r="H14" s="10">
        <v>0.42</v>
      </c>
      <c r="I14" s="10">
        <v>0</v>
      </c>
      <c r="J14" s="10">
        <v>0</v>
      </c>
      <c r="K14" s="24">
        <f t="shared" si="0"/>
        <v>0.42</v>
      </c>
    </row>
    <row r="15" spans="1:11" s="5" customFormat="1" ht="31.9" customHeight="1" x14ac:dyDescent="0.25">
      <c r="A15" s="23">
        <v>5</v>
      </c>
      <c r="B15" s="49" t="s">
        <v>3166</v>
      </c>
      <c r="C15" s="15" t="s">
        <v>976</v>
      </c>
      <c r="D15" s="7" t="s">
        <v>878</v>
      </c>
      <c r="E15" s="14" t="s">
        <v>1035</v>
      </c>
      <c r="F15" s="13" t="s">
        <v>1051</v>
      </c>
      <c r="G15" s="13">
        <v>3.5</v>
      </c>
      <c r="H15" s="10">
        <v>0.4</v>
      </c>
      <c r="I15" s="10">
        <v>0</v>
      </c>
      <c r="J15" s="10">
        <v>0</v>
      </c>
      <c r="K15" s="24">
        <f t="shared" si="0"/>
        <v>0.4</v>
      </c>
    </row>
    <row r="16" spans="1:11" s="5" customFormat="1" ht="37.15" customHeight="1" x14ac:dyDescent="0.25">
      <c r="A16" s="23">
        <v>6</v>
      </c>
      <c r="B16" s="49" t="s">
        <v>3167</v>
      </c>
      <c r="C16" s="15" t="s">
        <v>39</v>
      </c>
      <c r="D16" s="7" t="s">
        <v>879</v>
      </c>
      <c r="E16" s="14" t="s">
        <v>1035</v>
      </c>
      <c r="F16" s="13" t="s">
        <v>1051</v>
      </c>
      <c r="G16" s="13">
        <v>4</v>
      </c>
      <c r="H16" s="10">
        <f>0.63+0.785</f>
        <v>1.415</v>
      </c>
      <c r="I16" s="10">
        <v>0.63</v>
      </c>
      <c r="J16" s="10">
        <v>0</v>
      </c>
      <c r="K16" s="24">
        <f t="shared" si="0"/>
        <v>1.415</v>
      </c>
    </row>
    <row r="17" spans="1:11" s="5" customFormat="1" ht="28.15" customHeight="1" x14ac:dyDescent="0.25">
      <c r="A17" s="23">
        <v>7</v>
      </c>
      <c r="B17" s="49" t="s">
        <v>3168</v>
      </c>
      <c r="C17" s="15" t="s">
        <v>39</v>
      </c>
      <c r="D17" s="7" t="s">
        <v>880</v>
      </c>
      <c r="E17" s="14" t="s">
        <v>1035</v>
      </c>
      <c r="F17" s="13" t="s">
        <v>1051</v>
      </c>
      <c r="G17" s="13">
        <v>3.5</v>
      </c>
      <c r="H17" s="10">
        <v>0.67</v>
      </c>
      <c r="I17" s="10">
        <v>0</v>
      </c>
      <c r="J17" s="10">
        <v>0.35399999999999998</v>
      </c>
      <c r="K17" s="24">
        <f t="shared" si="0"/>
        <v>1.024</v>
      </c>
    </row>
    <row r="18" spans="1:11" s="5" customFormat="1" ht="51" customHeight="1" x14ac:dyDescent="0.25">
      <c r="A18" s="23">
        <v>8</v>
      </c>
      <c r="B18" s="49" t="s">
        <v>3169</v>
      </c>
      <c r="C18" s="15" t="s">
        <v>39</v>
      </c>
      <c r="D18" s="7" t="s">
        <v>881</v>
      </c>
      <c r="E18" s="14" t="s">
        <v>1035</v>
      </c>
      <c r="F18" s="13" t="s">
        <v>1051</v>
      </c>
      <c r="G18" s="13">
        <v>3.5</v>
      </c>
      <c r="H18" s="10">
        <v>0</v>
      </c>
      <c r="I18" s="10">
        <v>0</v>
      </c>
      <c r="J18" s="10">
        <v>1.2190000000000001</v>
      </c>
      <c r="K18" s="24">
        <f t="shared" si="0"/>
        <v>1.2190000000000001</v>
      </c>
    </row>
    <row r="19" spans="1:11" s="5" customFormat="1" ht="31.15" customHeight="1" x14ac:dyDescent="0.25">
      <c r="A19" s="23">
        <v>9</v>
      </c>
      <c r="B19" s="49" t="s">
        <v>3170</v>
      </c>
      <c r="C19" s="15" t="s">
        <v>39</v>
      </c>
      <c r="D19" s="7" t="s">
        <v>882</v>
      </c>
      <c r="E19" s="14" t="s">
        <v>1035</v>
      </c>
      <c r="F19" s="13" t="s">
        <v>1051</v>
      </c>
      <c r="G19" s="13">
        <v>4</v>
      </c>
      <c r="H19" s="10">
        <f>0.241+0.17</f>
        <v>0.41100000000000003</v>
      </c>
      <c r="I19" s="10">
        <v>0.24099999999999999</v>
      </c>
      <c r="J19" s="10">
        <v>0</v>
      </c>
      <c r="K19" s="24">
        <f t="shared" si="0"/>
        <v>0.41100000000000003</v>
      </c>
    </row>
    <row r="20" spans="1:11" s="5" customFormat="1" ht="33.6" customHeight="1" x14ac:dyDescent="0.25">
      <c r="A20" s="23">
        <v>10</v>
      </c>
      <c r="B20" s="49" t="s">
        <v>3171</v>
      </c>
      <c r="C20" s="15" t="s">
        <v>39</v>
      </c>
      <c r="D20" s="7" t="s">
        <v>883</v>
      </c>
      <c r="E20" s="14" t="s">
        <v>1035</v>
      </c>
      <c r="F20" s="13" t="s">
        <v>1051</v>
      </c>
      <c r="G20" s="13">
        <v>3</v>
      </c>
      <c r="H20" s="10">
        <v>1.7230000000000001</v>
      </c>
      <c r="I20" s="10">
        <v>0</v>
      </c>
      <c r="J20" s="10">
        <v>0.42099999999999999</v>
      </c>
      <c r="K20" s="24">
        <f t="shared" si="0"/>
        <v>2.1440000000000001</v>
      </c>
    </row>
    <row r="21" spans="1:11" s="5" customFormat="1" ht="31.9" customHeight="1" x14ac:dyDescent="0.25">
      <c r="A21" s="23">
        <v>11</v>
      </c>
      <c r="B21" s="49" t="s">
        <v>3172</v>
      </c>
      <c r="C21" s="15" t="s">
        <v>39</v>
      </c>
      <c r="D21" s="7" t="s">
        <v>884</v>
      </c>
      <c r="E21" s="14" t="s">
        <v>1035</v>
      </c>
      <c r="F21" s="13" t="s">
        <v>1051</v>
      </c>
      <c r="G21" s="13">
        <v>4</v>
      </c>
      <c r="H21" s="10">
        <v>1.0509999999999999</v>
      </c>
      <c r="I21" s="10">
        <v>0</v>
      </c>
      <c r="J21" s="10">
        <v>0.69699999999999995</v>
      </c>
      <c r="K21" s="24">
        <f t="shared" si="0"/>
        <v>1.7479999999999998</v>
      </c>
    </row>
    <row r="22" spans="1:11" s="5" customFormat="1" ht="33" customHeight="1" x14ac:dyDescent="0.25">
      <c r="A22" s="23">
        <v>12</v>
      </c>
      <c r="B22" s="49" t="s">
        <v>3173</v>
      </c>
      <c r="C22" s="15" t="s">
        <v>39</v>
      </c>
      <c r="D22" s="7" t="s">
        <v>885</v>
      </c>
      <c r="E22" s="14" t="s">
        <v>1035</v>
      </c>
      <c r="F22" s="13" t="s">
        <v>1051</v>
      </c>
      <c r="G22" s="13">
        <v>4</v>
      </c>
      <c r="H22" s="10">
        <v>1.518</v>
      </c>
      <c r="I22" s="10">
        <v>0</v>
      </c>
      <c r="J22" s="10">
        <v>0.58699999999999997</v>
      </c>
      <c r="K22" s="24">
        <f t="shared" si="0"/>
        <v>2.105</v>
      </c>
    </row>
    <row r="23" spans="1:11" s="5" customFormat="1" ht="31.15" customHeight="1" x14ac:dyDescent="0.25">
      <c r="A23" s="23">
        <v>13</v>
      </c>
      <c r="B23" s="49" t="s">
        <v>3174</v>
      </c>
      <c r="C23" s="15" t="s">
        <v>39</v>
      </c>
      <c r="D23" s="7" t="s">
        <v>886</v>
      </c>
      <c r="E23" s="14" t="s">
        <v>1035</v>
      </c>
      <c r="F23" s="13" t="s">
        <v>1051</v>
      </c>
      <c r="G23" s="13">
        <v>4</v>
      </c>
      <c r="H23" s="10">
        <v>1.6850000000000001</v>
      </c>
      <c r="I23" s="10">
        <v>1.6850000000000001</v>
      </c>
      <c r="J23" s="10">
        <v>0</v>
      </c>
      <c r="K23" s="24">
        <f t="shared" si="0"/>
        <v>1.6850000000000001</v>
      </c>
    </row>
    <row r="24" spans="1:11" s="5" customFormat="1" ht="36.6" customHeight="1" x14ac:dyDescent="0.25">
      <c r="A24" s="23">
        <v>14</v>
      </c>
      <c r="B24" s="49" t="s">
        <v>3175</v>
      </c>
      <c r="C24" s="15" t="s">
        <v>39</v>
      </c>
      <c r="D24" s="7" t="s">
        <v>887</v>
      </c>
      <c r="E24" s="14" t="s">
        <v>1035</v>
      </c>
      <c r="F24" s="13" t="s">
        <v>1051</v>
      </c>
      <c r="G24" s="13">
        <v>4</v>
      </c>
      <c r="H24" s="10">
        <v>0.47199999999999998</v>
      </c>
      <c r="I24" s="10">
        <v>0.47199999999999998</v>
      </c>
      <c r="J24" s="10">
        <v>0</v>
      </c>
      <c r="K24" s="24">
        <f t="shared" si="0"/>
        <v>0.47199999999999998</v>
      </c>
    </row>
    <row r="25" spans="1:11" s="5" customFormat="1" ht="33.6" customHeight="1" x14ac:dyDescent="0.25">
      <c r="A25" s="23">
        <v>15</v>
      </c>
      <c r="B25" s="49" t="s">
        <v>3176</v>
      </c>
      <c r="C25" s="15" t="s">
        <v>39</v>
      </c>
      <c r="D25" s="7" t="s">
        <v>888</v>
      </c>
      <c r="E25" s="14" t="s">
        <v>1035</v>
      </c>
      <c r="F25" s="13" t="s">
        <v>1051</v>
      </c>
      <c r="G25" s="13">
        <v>4</v>
      </c>
      <c r="H25" s="10">
        <v>0.40400000000000003</v>
      </c>
      <c r="I25" s="10">
        <v>0</v>
      </c>
      <c r="J25" s="10">
        <v>0</v>
      </c>
      <c r="K25" s="24">
        <f t="shared" si="0"/>
        <v>0.40400000000000003</v>
      </c>
    </row>
    <row r="26" spans="1:11" s="5" customFormat="1" ht="33.6" customHeight="1" x14ac:dyDescent="0.25">
      <c r="A26" s="23">
        <v>16</v>
      </c>
      <c r="B26" s="49" t="s">
        <v>3177</v>
      </c>
      <c r="C26" s="15" t="s">
        <v>39</v>
      </c>
      <c r="D26" s="7" t="s">
        <v>889</v>
      </c>
      <c r="E26" s="14" t="s">
        <v>1035</v>
      </c>
      <c r="F26" s="13" t="s">
        <v>1051</v>
      </c>
      <c r="G26" s="13">
        <v>4</v>
      </c>
      <c r="H26" s="10">
        <v>0.97099999999999997</v>
      </c>
      <c r="I26" s="10">
        <v>0</v>
      </c>
      <c r="J26" s="10">
        <v>1.0289999999999999</v>
      </c>
      <c r="K26" s="24">
        <f t="shared" si="0"/>
        <v>2</v>
      </c>
    </row>
    <row r="27" spans="1:11" s="5" customFormat="1" ht="32.450000000000003" customHeight="1" x14ac:dyDescent="0.25">
      <c r="A27" s="23">
        <v>17</v>
      </c>
      <c r="B27" s="49" t="s">
        <v>3178</v>
      </c>
      <c r="C27" s="15" t="s">
        <v>38</v>
      </c>
      <c r="D27" s="7" t="s">
        <v>890</v>
      </c>
      <c r="E27" s="14" t="s">
        <v>1035</v>
      </c>
      <c r="F27" s="13" t="s">
        <v>1051</v>
      </c>
      <c r="G27" s="13">
        <v>3.5</v>
      </c>
      <c r="H27" s="10">
        <v>0</v>
      </c>
      <c r="I27" s="10">
        <v>0</v>
      </c>
      <c r="J27" s="10">
        <v>0.38100000000000001</v>
      </c>
      <c r="K27" s="24">
        <f t="shared" si="0"/>
        <v>0.38100000000000001</v>
      </c>
    </row>
    <row r="28" spans="1:11" s="5" customFormat="1" ht="33.6" customHeight="1" x14ac:dyDescent="0.25">
      <c r="A28" s="23">
        <v>18</v>
      </c>
      <c r="B28" s="49" t="s">
        <v>3179</v>
      </c>
      <c r="C28" s="15" t="s">
        <v>39</v>
      </c>
      <c r="D28" s="7" t="s">
        <v>891</v>
      </c>
      <c r="E28" s="14" t="s">
        <v>1035</v>
      </c>
      <c r="F28" s="13" t="s">
        <v>1051</v>
      </c>
      <c r="G28" s="13">
        <v>4</v>
      </c>
      <c r="H28" s="10">
        <v>0.57199999999999995</v>
      </c>
      <c r="I28" s="10">
        <v>0</v>
      </c>
      <c r="J28" s="10">
        <v>0</v>
      </c>
      <c r="K28" s="24">
        <f t="shared" si="0"/>
        <v>0.57199999999999995</v>
      </c>
    </row>
    <row r="29" spans="1:11" s="5" customFormat="1" ht="37.15" customHeight="1" x14ac:dyDescent="0.25">
      <c r="A29" s="23">
        <v>19</v>
      </c>
      <c r="B29" s="49" t="s">
        <v>3180</v>
      </c>
      <c r="C29" s="15" t="s">
        <v>39</v>
      </c>
      <c r="D29" s="7" t="s">
        <v>892</v>
      </c>
      <c r="E29" s="14" t="s">
        <v>1035</v>
      </c>
      <c r="F29" s="13" t="s">
        <v>1051</v>
      </c>
      <c r="G29" s="13">
        <v>3.5</v>
      </c>
      <c r="H29" s="10">
        <v>0.39600000000000002</v>
      </c>
      <c r="I29" s="10">
        <v>0</v>
      </c>
      <c r="J29" s="10">
        <v>0.55000000000000004</v>
      </c>
      <c r="K29" s="24">
        <f t="shared" si="0"/>
        <v>0.94600000000000006</v>
      </c>
    </row>
    <row r="30" spans="1:11" s="5" customFormat="1" ht="32.450000000000003" customHeight="1" x14ac:dyDescent="0.25">
      <c r="A30" s="23">
        <v>20</v>
      </c>
      <c r="B30" s="49" t="s">
        <v>3181</v>
      </c>
      <c r="C30" s="15" t="s">
        <v>39</v>
      </c>
      <c r="D30" s="7" t="s">
        <v>893</v>
      </c>
      <c r="E30" s="14" t="s">
        <v>1035</v>
      </c>
      <c r="F30" s="13" t="s">
        <v>1051</v>
      </c>
      <c r="G30" s="13">
        <v>4.5</v>
      </c>
      <c r="H30" s="10">
        <f>0.647+0.05</f>
        <v>0.69700000000000006</v>
      </c>
      <c r="I30" s="10">
        <v>0.69699999999999995</v>
      </c>
      <c r="J30" s="10">
        <v>0.435</v>
      </c>
      <c r="K30" s="24">
        <f t="shared" si="0"/>
        <v>1.1320000000000001</v>
      </c>
    </row>
    <row r="31" spans="1:11" s="5" customFormat="1" ht="28.15" customHeight="1" x14ac:dyDescent="0.25">
      <c r="A31" s="23">
        <v>21</v>
      </c>
      <c r="B31" s="49" t="s">
        <v>3182</v>
      </c>
      <c r="C31" s="15" t="s">
        <v>39</v>
      </c>
      <c r="D31" s="7" t="s">
        <v>894</v>
      </c>
      <c r="E31" s="14" t="s">
        <v>1035</v>
      </c>
      <c r="F31" s="13" t="s">
        <v>1051</v>
      </c>
      <c r="G31" s="13">
        <v>4</v>
      </c>
      <c r="H31" s="10">
        <f>0.62+1.173+0.179</f>
        <v>1.9720000000000002</v>
      </c>
      <c r="I31" s="10">
        <v>0.62</v>
      </c>
      <c r="J31" s="10">
        <v>0.50700000000000001</v>
      </c>
      <c r="K31" s="24">
        <f t="shared" si="0"/>
        <v>2.4790000000000001</v>
      </c>
    </row>
    <row r="32" spans="1:11" s="5" customFormat="1" ht="34.15" customHeight="1" x14ac:dyDescent="0.25">
      <c r="A32" s="23">
        <v>22</v>
      </c>
      <c r="B32" s="49" t="s">
        <v>3183</v>
      </c>
      <c r="C32" s="15" t="s">
        <v>38</v>
      </c>
      <c r="D32" s="7" t="s">
        <v>895</v>
      </c>
      <c r="E32" s="14" t="s">
        <v>1035</v>
      </c>
      <c r="F32" s="13" t="s">
        <v>1051</v>
      </c>
      <c r="G32" s="13">
        <v>3</v>
      </c>
      <c r="H32" s="10">
        <v>0</v>
      </c>
      <c r="I32" s="10">
        <v>0</v>
      </c>
      <c r="J32" s="10">
        <v>0.218</v>
      </c>
      <c r="K32" s="24">
        <f t="shared" si="0"/>
        <v>0.218</v>
      </c>
    </row>
    <row r="33" spans="1:11" s="5" customFormat="1" ht="34.9" customHeight="1" x14ac:dyDescent="0.25">
      <c r="A33" s="23">
        <v>23</v>
      </c>
      <c r="B33" s="49" t="s">
        <v>3184</v>
      </c>
      <c r="C33" s="15" t="s">
        <v>39</v>
      </c>
      <c r="D33" s="7" t="s">
        <v>896</v>
      </c>
      <c r="E33" s="14" t="s">
        <v>1035</v>
      </c>
      <c r="F33" s="13" t="s">
        <v>1051</v>
      </c>
      <c r="G33" s="13">
        <v>3.5</v>
      </c>
      <c r="H33" s="10">
        <f>0.08+0.184+0.21</f>
        <v>0.47399999999999998</v>
      </c>
      <c r="I33" s="10">
        <v>0.08</v>
      </c>
      <c r="J33" s="10">
        <v>1.2250000000000001</v>
      </c>
      <c r="K33" s="24">
        <f t="shared" si="0"/>
        <v>1.6990000000000001</v>
      </c>
    </row>
    <row r="34" spans="1:11" s="5" customFormat="1" ht="36.6" customHeight="1" x14ac:dyDescent="0.25">
      <c r="A34" s="23">
        <v>24</v>
      </c>
      <c r="B34" s="49" t="s">
        <v>3185</v>
      </c>
      <c r="C34" s="15" t="s">
        <v>38</v>
      </c>
      <c r="D34" s="7" t="s">
        <v>897</v>
      </c>
      <c r="E34" s="14" t="s">
        <v>1035</v>
      </c>
      <c r="F34" s="13" t="s">
        <v>1051</v>
      </c>
      <c r="G34" s="13">
        <v>4</v>
      </c>
      <c r="H34" s="10">
        <v>0.91200000000000003</v>
      </c>
      <c r="I34" s="10">
        <v>0.91200000000000003</v>
      </c>
      <c r="J34" s="10">
        <v>0</v>
      </c>
      <c r="K34" s="24">
        <f t="shared" si="0"/>
        <v>0.91200000000000003</v>
      </c>
    </row>
    <row r="35" spans="1:11" s="5" customFormat="1" ht="23.25" customHeight="1" x14ac:dyDescent="0.25">
      <c r="A35" s="23">
        <v>25</v>
      </c>
      <c r="B35" s="49" t="s">
        <v>3186</v>
      </c>
      <c r="C35" s="15" t="s">
        <v>39</v>
      </c>
      <c r="D35" s="7" t="s">
        <v>898</v>
      </c>
      <c r="E35" s="14" t="s">
        <v>1035</v>
      </c>
      <c r="F35" s="13" t="s">
        <v>1051</v>
      </c>
      <c r="G35" s="13">
        <v>4</v>
      </c>
      <c r="H35" s="10">
        <v>1.3160000000000001</v>
      </c>
      <c r="I35" s="10">
        <v>0</v>
      </c>
      <c r="J35" s="10">
        <v>1.3740000000000001</v>
      </c>
      <c r="K35" s="24">
        <f t="shared" si="0"/>
        <v>2.6900000000000004</v>
      </c>
    </row>
    <row r="36" spans="1:11" s="5" customFormat="1" ht="28.15" customHeight="1" x14ac:dyDescent="0.25">
      <c r="A36" s="23">
        <v>26</v>
      </c>
      <c r="B36" s="49" t="s">
        <v>3219</v>
      </c>
      <c r="C36" s="15" t="s">
        <v>39</v>
      </c>
      <c r="D36" s="7" t="s">
        <v>899</v>
      </c>
      <c r="E36" s="14" t="s">
        <v>1035</v>
      </c>
      <c r="F36" s="13" t="s">
        <v>1051</v>
      </c>
      <c r="G36" s="13">
        <v>3.5</v>
      </c>
      <c r="H36" s="10">
        <f>1.422+0.121</f>
        <v>1.5429999999999999</v>
      </c>
      <c r="I36" s="10">
        <v>1.5429999999999999</v>
      </c>
      <c r="J36" s="10">
        <v>0</v>
      </c>
      <c r="K36" s="24">
        <f t="shared" si="0"/>
        <v>1.5429999999999999</v>
      </c>
    </row>
    <row r="37" spans="1:11" s="5" customFormat="1" ht="25.15" customHeight="1" x14ac:dyDescent="0.25">
      <c r="A37" s="23">
        <v>27</v>
      </c>
      <c r="B37" s="49" t="s">
        <v>3220</v>
      </c>
      <c r="C37" s="15" t="s">
        <v>39</v>
      </c>
      <c r="D37" s="7" t="s">
        <v>900</v>
      </c>
      <c r="E37" s="14" t="s">
        <v>1035</v>
      </c>
      <c r="F37" s="13" t="s">
        <v>1051</v>
      </c>
      <c r="G37" s="13">
        <v>3</v>
      </c>
      <c r="H37" s="10">
        <v>0.96</v>
      </c>
      <c r="I37" s="10">
        <v>0.96</v>
      </c>
      <c r="J37" s="10">
        <v>0</v>
      </c>
      <c r="K37" s="24">
        <f t="shared" si="0"/>
        <v>0.96</v>
      </c>
    </row>
    <row r="38" spans="1:11" s="5" customFormat="1" ht="30" customHeight="1" x14ac:dyDescent="0.25">
      <c r="A38" s="23">
        <v>28</v>
      </c>
      <c r="B38" s="49" t="s">
        <v>3221</v>
      </c>
      <c r="C38" s="15" t="s">
        <v>39</v>
      </c>
      <c r="D38" s="7" t="s">
        <v>901</v>
      </c>
      <c r="E38" s="14" t="s">
        <v>1035</v>
      </c>
      <c r="F38" s="13" t="s">
        <v>1051</v>
      </c>
      <c r="G38" s="13">
        <v>3.5</v>
      </c>
      <c r="H38" s="10">
        <f>0.193+0.18</f>
        <v>0.373</v>
      </c>
      <c r="I38" s="10">
        <f>0.193+0.058</f>
        <v>0.251</v>
      </c>
      <c r="J38" s="10">
        <f>0.8+1.21</f>
        <v>2.0099999999999998</v>
      </c>
      <c r="K38" s="24">
        <f t="shared" si="0"/>
        <v>2.383</v>
      </c>
    </row>
    <row r="39" spans="1:11" s="5" customFormat="1" ht="30.6" customHeight="1" x14ac:dyDescent="0.25">
      <c r="A39" s="23">
        <v>29</v>
      </c>
      <c r="B39" s="49" t="s">
        <v>3222</v>
      </c>
      <c r="C39" s="15" t="s">
        <v>39</v>
      </c>
      <c r="D39" s="7" t="s">
        <v>902</v>
      </c>
      <c r="E39" s="14" t="s">
        <v>1035</v>
      </c>
      <c r="F39" s="13" t="s">
        <v>1051</v>
      </c>
      <c r="G39" s="13">
        <v>3</v>
      </c>
      <c r="H39" s="10">
        <v>0.44500000000000001</v>
      </c>
      <c r="I39" s="10">
        <v>0.44500000000000001</v>
      </c>
      <c r="J39" s="10">
        <f>0.41+0.366</f>
        <v>0.77600000000000002</v>
      </c>
      <c r="K39" s="24">
        <f t="shared" si="0"/>
        <v>1.2210000000000001</v>
      </c>
    </row>
    <row r="40" spans="1:11" s="5" customFormat="1" ht="32.450000000000003" customHeight="1" x14ac:dyDescent="0.25">
      <c r="A40" s="23">
        <v>30</v>
      </c>
      <c r="B40" s="49" t="s">
        <v>3223</v>
      </c>
      <c r="C40" s="15" t="s">
        <v>39</v>
      </c>
      <c r="D40" s="7" t="s">
        <v>903</v>
      </c>
      <c r="E40" s="14" t="s">
        <v>1035</v>
      </c>
      <c r="F40" s="13" t="s">
        <v>1051</v>
      </c>
      <c r="G40" s="13">
        <v>3.5</v>
      </c>
      <c r="H40" s="10">
        <f>0.168+0.474</f>
        <v>0.64200000000000002</v>
      </c>
      <c r="I40" s="10">
        <v>0.16800000000000001</v>
      </c>
      <c r="J40" s="10">
        <f>0.24</f>
        <v>0.24</v>
      </c>
      <c r="K40" s="24">
        <f t="shared" si="0"/>
        <v>0.88200000000000001</v>
      </c>
    </row>
    <row r="41" spans="1:11" s="5" customFormat="1" ht="49.9" customHeight="1" x14ac:dyDescent="0.25">
      <c r="A41" s="23">
        <v>31</v>
      </c>
      <c r="B41" s="49" t="s">
        <v>3224</v>
      </c>
      <c r="C41" s="15" t="s">
        <v>38</v>
      </c>
      <c r="D41" s="7" t="s">
        <v>904</v>
      </c>
      <c r="E41" s="14" t="s">
        <v>1035</v>
      </c>
      <c r="F41" s="13" t="s">
        <v>1051</v>
      </c>
      <c r="G41" s="13">
        <v>4</v>
      </c>
      <c r="H41" s="10">
        <v>0.58299999999999996</v>
      </c>
      <c r="I41" s="10">
        <v>0.58299999999999996</v>
      </c>
      <c r="J41" s="10">
        <v>0</v>
      </c>
      <c r="K41" s="24">
        <f t="shared" si="0"/>
        <v>0.58299999999999996</v>
      </c>
    </row>
    <row r="42" spans="1:11" s="5" customFormat="1" ht="31.15" customHeight="1" x14ac:dyDescent="0.25">
      <c r="A42" s="23">
        <v>32</v>
      </c>
      <c r="B42" s="49" t="s">
        <v>3225</v>
      </c>
      <c r="C42" s="15" t="s">
        <v>39</v>
      </c>
      <c r="D42" s="7" t="s">
        <v>905</v>
      </c>
      <c r="E42" s="14" t="s">
        <v>1035</v>
      </c>
      <c r="F42" s="13" t="s">
        <v>1114</v>
      </c>
      <c r="G42" s="13">
        <v>4.5</v>
      </c>
      <c r="H42" s="10">
        <f>1.48+0.48+0.46</f>
        <v>2.42</v>
      </c>
      <c r="I42" s="10">
        <f>1.48+0.48</f>
        <v>1.96</v>
      </c>
      <c r="J42" s="10">
        <f>0.63</f>
        <v>0.63</v>
      </c>
      <c r="K42" s="24">
        <f t="shared" si="0"/>
        <v>3.05</v>
      </c>
    </row>
    <row r="43" spans="1:11" s="5" customFormat="1" ht="30" customHeight="1" x14ac:dyDescent="0.25">
      <c r="A43" s="23">
        <v>33</v>
      </c>
      <c r="B43" s="49" t="s">
        <v>3226</v>
      </c>
      <c r="C43" s="15" t="s">
        <v>39</v>
      </c>
      <c r="D43" s="7" t="s">
        <v>906</v>
      </c>
      <c r="E43" s="14" t="s">
        <v>1035</v>
      </c>
      <c r="F43" s="13" t="s">
        <v>1051</v>
      </c>
      <c r="G43" s="13">
        <v>3.5</v>
      </c>
      <c r="H43" s="10">
        <v>7.6999999999999999E-2</v>
      </c>
      <c r="I43" s="10">
        <v>7.6999999999999999E-2</v>
      </c>
      <c r="J43" s="10">
        <v>0.7</v>
      </c>
      <c r="K43" s="24">
        <f t="shared" si="0"/>
        <v>0.77699999999999991</v>
      </c>
    </row>
    <row r="44" spans="1:11" s="5" customFormat="1" ht="33" customHeight="1" x14ac:dyDescent="0.25">
      <c r="A44" s="23">
        <v>34</v>
      </c>
      <c r="B44" s="49" t="s">
        <v>3227</v>
      </c>
      <c r="C44" s="15" t="s">
        <v>38</v>
      </c>
      <c r="D44" s="7" t="s">
        <v>907</v>
      </c>
      <c r="E44" s="14" t="s">
        <v>1035</v>
      </c>
      <c r="F44" s="13" t="s">
        <v>1051</v>
      </c>
      <c r="G44" s="13">
        <v>3.5</v>
      </c>
      <c r="H44" s="10">
        <v>0</v>
      </c>
      <c r="I44" s="10">
        <v>0</v>
      </c>
      <c r="J44" s="10">
        <v>8.3469999999999995</v>
      </c>
      <c r="K44" s="24">
        <f t="shared" si="0"/>
        <v>8.3469999999999995</v>
      </c>
    </row>
    <row r="45" spans="1:11" s="5" customFormat="1" ht="31.9" customHeight="1" x14ac:dyDescent="0.25">
      <c r="A45" s="23">
        <v>35</v>
      </c>
      <c r="B45" s="49" t="s">
        <v>3228</v>
      </c>
      <c r="C45" s="15" t="s">
        <v>38</v>
      </c>
      <c r="D45" s="7" t="s">
        <v>908</v>
      </c>
      <c r="E45" s="14" t="s">
        <v>1035</v>
      </c>
      <c r="F45" s="13" t="s">
        <v>1051</v>
      </c>
      <c r="G45" s="13">
        <v>3.5</v>
      </c>
      <c r="H45" s="10">
        <v>0</v>
      </c>
      <c r="I45" s="10">
        <v>0</v>
      </c>
      <c r="J45" s="10">
        <v>4.6230000000000002</v>
      </c>
      <c r="K45" s="24">
        <f t="shared" si="0"/>
        <v>4.6230000000000002</v>
      </c>
    </row>
    <row r="46" spans="1:11" s="5" customFormat="1" ht="49.15" customHeight="1" x14ac:dyDescent="0.25">
      <c r="A46" s="23">
        <v>36</v>
      </c>
      <c r="B46" s="49" t="s">
        <v>3229</v>
      </c>
      <c r="C46" s="15" t="s">
        <v>38</v>
      </c>
      <c r="D46" s="7" t="s">
        <v>909</v>
      </c>
      <c r="E46" s="14" t="s">
        <v>1035</v>
      </c>
      <c r="F46" s="13" t="s">
        <v>1051</v>
      </c>
      <c r="G46" s="13">
        <v>3.5</v>
      </c>
      <c r="H46" s="10">
        <v>7.6550000000000002</v>
      </c>
      <c r="I46" s="10">
        <v>0</v>
      </c>
      <c r="J46" s="10">
        <v>0</v>
      </c>
      <c r="K46" s="24">
        <f t="shared" si="0"/>
        <v>7.6550000000000002</v>
      </c>
    </row>
    <row r="47" spans="1:11" s="5" customFormat="1" ht="34.9" customHeight="1" x14ac:dyDescent="0.25">
      <c r="A47" s="23">
        <v>37</v>
      </c>
      <c r="B47" s="49" t="s">
        <v>3230</v>
      </c>
      <c r="C47" s="15" t="s">
        <v>38</v>
      </c>
      <c r="D47" s="7" t="s">
        <v>910</v>
      </c>
      <c r="E47" s="14" t="s">
        <v>1035</v>
      </c>
      <c r="F47" s="13" t="s">
        <v>1051</v>
      </c>
      <c r="G47" s="13">
        <v>3.5</v>
      </c>
      <c r="H47" s="10">
        <v>0</v>
      </c>
      <c r="I47" s="10">
        <v>0</v>
      </c>
      <c r="J47" s="10">
        <v>1.829</v>
      </c>
      <c r="K47" s="24">
        <f t="shared" si="0"/>
        <v>1.829</v>
      </c>
    </row>
    <row r="48" spans="1:11" s="5" customFormat="1" ht="31.15" customHeight="1" x14ac:dyDescent="0.25">
      <c r="A48" s="23">
        <v>38</v>
      </c>
      <c r="B48" s="49" t="s">
        <v>3231</v>
      </c>
      <c r="C48" s="15" t="s">
        <v>38</v>
      </c>
      <c r="D48" s="7" t="s">
        <v>911</v>
      </c>
      <c r="E48" s="14" t="s">
        <v>1035</v>
      </c>
      <c r="F48" s="13" t="s">
        <v>1051</v>
      </c>
      <c r="G48" s="13">
        <v>3.5</v>
      </c>
      <c r="H48" s="10">
        <v>0</v>
      </c>
      <c r="I48" s="10">
        <v>0</v>
      </c>
      <c r="J48" s="10">
        <v>2.548</v>
      </c>
      <c r="K48" s="24">
        <f t="shared" si="0"/>
        <v>2.548</v>
      </c>
    </row>
    <row r="49" spans="1:11" s="5" customFormat="1" ht="37.15" customHeight="1" x14ac:dyDescent="0.25">
      <c r="A49" s="23">
        <v>39</v>
      </c>
      <c r="B49" s="49" t="s">
        <v>3232</v>
      </c>
      <c r="C49" s="15" t="s">
        <v>38</v>
      </c>
      <c r="D49" s="7" t="s">
        <v>912</v>
      </c>
      <c r="E49" s="14" t="s">
        <v>1035</v>
      </c>
      <c r="F49" s="13" t="s">
        <v>1051</v>
      </c>
      <c r="G49" s="13">
        <v>3.5</v>
      </c>
      <c r="H49" s="10">
        <v>0</v>
      </c>
      <c r="I49" s="10">
        <v>0</v>
      </c>
      <c r="J49" s="10">
        <v>2.8119999999999998</v>
      </c>
      <c r="K49" s="24">
        <f t="shared" si="0"/>
        <v>2.8119999999999998</v>
      </c>
    </row>
    <row r="50" spans="1:11" s="5" customFormat="1" ht="35.450000000000003" customHeight="1" x14ac:dyDescent="0.25">
      <c r="A50" s="23">
        <v>40</v>
      </c>
      <c r="B50" s="49" t="s">
        <v>3233</v>
      </c>
      <c r="C50" s="15" t="s">
        <v>38</v>
      </c>
      <c r="D50" s="7" t="s">
        <v>913</v>
      </c>
      <c r="E50" s="14" t="s">
        <v>1035</v>
      </c>
      <c r="F50" s="13" t="s">
        <v>1051</v>
      </c>
      <c r="G50" s="13">
        <v>3.5</v>
      </c>
      <c r="H50" s="10">
        <v>0</v>
      </c>
      <c r="I50" s="10">
        <v>0</v>
      </c>
      <c r="J50" s="10">
        <v>1.27</v>
      </c>
      <c r="K50" s="24">
        <f t="shared" si="0"/>
        <v>1.27</v>
      </c>
    </row>
    <row r="51" spans="1:11" s="5" customFormat="1" ht="30.6" customHeight="1" x14ac:dyDescent="0.25">
      <c r="A51" s="23">
        <v>41</v>
      </c>
      <c r="B51" s="49" t="s">
        <v>3234</v>
      </c>
      <c r="C51" s="15" t="s">
        <v>38</v>
      </c>
      <c r="D51" s="7" t="s">
        <v>914</v>
      </c>
      <c r="E51" s="14" t="s">
        <v>1035</v>
      </c>
      <c r="F51" s="13" t="s">
        <v>1051</v>
      </c>
      <c r="G51" s="13">
        <v>3.5</v>
      </c>
      <c r="H51" s="10">
        <v>0</v>
      </c>
      <c r="I51" s="10">
        <v>0</v>
      </c>
      <c r="J51" s="10">
        <v>1.24</v>
      </c>
      <c r="K51" s="24">
        <f t="shared" si="0"/>
        <v>1.24</v>
      </c>
    </row>
    <row r="52" spans="1:11" s="5" customFormat="1" ht="27.6" customHeight="1" x14ac:dyDescent="0.25">
      <c r="A52" s="23">
        <v>42</v>
      </c>
      <c r="B52" s="49" t="s">
        <v>3235</v>
      </c>
      <c r="C52" s="15" t="s">
        <v>38</v>
      </c>
      <c r="D52" s="7" t="s">
        <v>915</v>
      </c>
      <c r="E52" s="14" t="s">
        <v>1035</v>
      </c>
      <c r="F52" s="13" t="s">
        <v>1051</v>
      </c>
      <c r="G52" s="13">
        <v>3.5</v>
      </c>
      <c r="H52" s="10">
        <v>0</v>
      </c>
      <c r="I52" s="10">
        <v>0</v>
      </c>
      <c r="J52" s="10">
        <v>1.232</v>
      </c>
      <c r="K52" s="24">
        <f t="shared" si="0"/>
        <v>1.232</v>
      </c>
    </row>
    <row r="53" spans="1:11" s="5" customFormat="1" ht="27" customHeight="1" x14ac:dyDescent="0.25">
      <c r="A53" s="23">
        <v>43</v>
      </c>
      <c r="B53" s="49" t="s">
        <v>3236</v>
      </c>
      <c r="C53" s="15" t="s">
        <v>38</v>
      </c>
      <c r="D53" s="7" t="s">
        <v>916</v>
      </c>
      <c r="E53" s="14" t="s">
        <v>1035</v>
      </c>
      <c r="F53" s="13" t="s">
        <v>1051</v>
      </c>
      <c r="G53" s="13">
        <v>3.5</v>
      </c>
      <c r="H53" s="10">
        <v>0</v>
      </c>
      <c r="I53" s="10">
        <v>0</v>
      </c>
      <c r="J53" s="10">
        <v>3.82</v>
      </c>
      <c r="K53" s="24">
        <f t="shared" si="0"/>
        <v>3.82</v>
      </c>
    </row>
    <row r="54" spans="1:11" s="5" customFormat="1" ht="31.15" customHeight="1" x14ac:dyDescent="0.25">
      <c r="A54" s="23">
        <v>44</v>
      </c>
      <c r="B54" s="49" t="s">
        <v>3237</v>
      </c>
      <c r="C54" s="15" t="s">
        <v>38</v>
      </c>
      <c r="D54" s="7" t="s">
        <v>917</v>
      </c>
      <c r="E54" s="14" t="s">
        <v>1035</v>
      </c>
      <c r="F54" s="13" t="s">
        <v>1051</v>
      </c>
      <c r="G54" s="13">
        <v>3.5</v>
      </c>
      <c r="H54" s="10">
        <v>5.1059999999999999</v>
      </c>
      <c r="I54" s="10">
        <v>0</v>
      </c>
      <c r="J54" s="10">
        <v>0</v>
      </c>
      <c r="K54" s="24">
        <f t="shared" si="0"/>
        <v>5.1059999999999999</v>
      </c>
    </row>
    <row r="55" spans="1:11" s="5" customFormat="1" ht="32.450000000000003" customHeight="1" x14ac:dyDescent="0.25">
      <c r="A55" s="23">
        <v>45</v>
      </c>
      <c r="B55" s="49" t="s">
        <v>3238</v>
      </c>
      <c r="C55" s="15" t="s">
        <v>38</v>
      </c>
      <c r="D55" s="7" t="s">
        <v>918</v>
      </c>
      <c r="E55" s="14" t="s">
        <v>1035</v>
      </c>
      <c r="F55" s="13" t="s">
        <v>1051</v>
      </c>
      <c r="G55" s="13">
        <v>3.5</v>
      </c>
      <c r="H55" s="10">
        <v>0</v>
      </c>
      <c r="I55" s="10">
        <v>0</v>
      </c>
      <c r="J55" s="10">
        <v>3.2690000000000001</v>
      </c>
      <c r="K55" s="24">
        <f t="shared" si="0"/>
        <v>3.2690000000000001</v>
      </c>
    </row>
  </sheetData>
  <sheetProtection insertRows="0" deleteRows="0" sort="0"/>
  <mergeCells count="9">
    <mergeCell ref="A7:A8"/>
    <mergeCell ref="B7:B8"/>
    <mergeCell ref="C7:C8"/>
    <mergeCell ref="D7:D8"/>
    <mergeCell ref="C1:I1"/>
    <mergeCell ref="E7:E8"/>
    <mergeCell ref="K7:K8"/>
    <mergeCell ref="F7:F8"/>
    <mergeCell ref="G7:G8"/>
  </mergeCells>
  <phoneticPr fontId="22" type="noConversion"/>
  <conditionalFormatting sqref="K11:K55">
    <cfRule type="expression" dxfId="24" priority="2">
      <formula>$H11+$J11&lt;&gt;$K11</formula>
    </cfRule>
  </conditionalFormatting>
  <conditionalFormatting sqref="H10:K10">
    <cfRule type="expression" dxfId="23" priority="230">
      <formula>H$10&lt;&gt;SUM(H$11:H$259)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opLeftCell="A36" zoomScaleNormal="100" zoomScaleSheetLayoutView="80" workbookViewId="0">
      <selection activeCell="D58" sqref="D58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4.140625" style="4" customWidth="1"/>
    <col min="5" max="5" width="20.42578125" style="4" customWidth="1"/>
    <col min="6" max="7" width="10.42578125" style="4" customWidth="1"/>
    <col min="8" max="8" width="12.28515625" style="4" customWidth="1"/>
    <col min="9" max="9" width="15.5703125" style="4" customWidth="1"/>
    <col min="10" max="10" width="10.28515625" style="4" customWidth="1"/>
    <col min="11" max="11" width="14.140625" style="4" customWidth="1"/>
    <col min="12" max="16384" width="9.140625" style="4"/>
  </cols>
  <sheetData>
    <row r="1" spans="1:11" ht="28.9" customHeight="1" x14ac:dyDescent="0.25">
      <c r="B1" s="5"/>
      <c r="C1" s="180" t="s">
        <v>3244</v>
      </c>
      <c r="D1" s="180"/>
      <c r="E1" s="180"/>
      <c r="F1" s="180"/>
      <c r="G1" s="180"/>
      <c r="H1" s="180"/>
      <c r="I1" s="180"/>
      <c r="J1" s="5"/>
    </row>
    <row r="2" spans="1:1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x14ac:dyDescent="0.25">
      <c r="C4" s="152"/>
      <c r="D4" s="152"/>
      <c r="E4" s="152"/>
      <c r="F4" s="152"/>
      <c r="G4" s="152"/>
      <c r="H4" s="152"/>
      <c r="I4" s="152"/>
      <c r="K4" s="153" t="s">
        <v>3242</v>
      </c>
    </row>
    <row r="5" spans="1:11" x14ac:dyDescent="0.25">
      <c r="K5" s="153" t="s">
        <v>3243</v>
      </c>
    </row>
    <row r="7" spans="1:11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43"/>
      <c r="I7" s="44" t="s">
        <v>16</v>
      </c>
      <c r="J7" s="42"/>
      <c r="K7" s="178" t="s">
        <v>5</v>
      </c>
    </row>
    <row r="8" spans="1:11" s="5" customFormat="1" ht="60" customHeight="1" thickBot="1" x14ac:dyDescent="0.3">
      <c r="A8" s="184"/>
      <c r="B8" s="184"/>
      <c r="C8" s="184"/>
      <c r="D8" s="184"/>
      <c r="E8" s="184"/>
      <c r="F8" s="184"/>
      <c r="G8" s="179"/>
      <c r="H8" s="25" t="s">
        <v>3</v>
      </c>
      <c r="I8" s="25" t="s">
        <v>24</v>
      </c>
      <c r="J8" s="34" t="s">
        <v>4</v>
      </c>
      <c r="K8" s="184"/>
    </row>
    <row r="9" spans="1:11" s="5" customFormat="1" ht="21.75" customHeight="1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/>
      <c r="H9" s="29">
        <v>7</v>
      </c>
      <c r="I9" s="28">
        <v>8</v>
      </c>
      <c r="J9" s="28">
        <v>9</v>
      </c>
      <c r="K9" s="30">
        <v>10</v>
      </c>
    </row>
    <row r="10" spans="1:11" s="5" customFormat="1" ht="29.25" customHeight="1" x14ac:dyDescent="0.25">
      <c r="A10" s="18" t="s">
        <v>2</v>
      </c>
      <c r="B10" s="19"/>
      <c r="C10" s="19"/>
      <c r="D10" s="19"/>
      <c r="E10" s="19"/>
      <c r="F10" s="20"/>
      <c r="G10" s="20"/>
      <c r="H10" s="21">
        <f>SUM(H11:H196)</f>
        <v>25.076999999999998</v>
      </c>
      <c r="I10" s="21">
        <f>SUM(I11:I196)</f>
        <v>20.637999999999998</v>
      </c>
      <c r="J10" s="21">
        <f>SUM(J11:J196)</f>
        <v>58.492999999999995</v>
      </c>
      <c r="K10" s="22">
        <f>SUM(K11:K196)</f>
        <v>83.570000000000007</v>
      </c>
    </row>
    <row r="11" spans="1:11" s="5" customFormat="1" ht="29.25" customHeight="1" x14ac:dyDescent="0.25">
      <c r="A11" s="23">
        <v>1</v>
      </c>
      <c r="B11" s="49" t="s">
        <v>2184</v>
      </c>
      <c r="C11" s="15" t="s">
        <v>39</v>
      </c>
      <c r="D11" s="7" t="s">
        <v>513</v>
      </c>
      <c r="E11" s="14" t="s">
        <v>1036</v>
      </c>
      <c r="F11" s="13" t="s">
        <v>1051</v>
      </c>
      <c r="G11" s="13">
        <v>4.5</v>
      </c>
      <c r="H11" s="10">
        <v>1.18</v>
      </c>
      <c r="I11" s="10">
        <v>1.18</v>
      </c>
      <c r="J11" s="10">
        <v>0.84499999999999997</v>
      </c>
      <c r="K11" s="24">
        <f>SUM(J11,H11)</f>
        <v>2.0249999999999999</v>
      </c>
    </row>
    <row r="12" spans="1:11" s="5" customFormat="1" ht="33.6" customHeight="1" x14ac:dyDescent="0.25">
      <c r="A12" s="23">
        <v>2</v>
      </c>
      <c r="B12" s="49" t="s">
        <v>2185</v>
      </c>
      <c r="C12" s="15" t="s">
        <v>39</v>
      </c>
      <c r="D12" s="7" t="s">
        <v>514</v>
      </c>
      <c r="E12" s="14" t="s">
        <v>1036</v>
      </c>
      <c r="F12" s="13" t="s">
        <v>1051</v>
      </c>
      <c r="G12" s="13">
        <v>4.5</v>
      </c>
      <c r="H12" s="10">
        <f>0.99+0.062</f>
        <v>1.052</v>
      </c>
      <c r="I12" s="10">
        <v>0.99</v>
      </c>
      <c r="J12" s="10">
        <v>0</v>
      </c>
      <c r="K12" s="24">
        <f t="shared" ref="K12:K57" si="0">SUM(J12,H12)</f>
        <v>1.052</v>
      </c>
    </row>
    <row r="13" spans="1:11" s="5" customFormat="1" ht="28.9" customHeight="1" x14ac:dyDescent="0.25">
      <c r="A13" s="23">
        <v>3</v>
      </c>
      <c r="B13" s="49" t="s">
        <v>2186</v>
      </c>
      <c r="C13" s="15" t="s">
        <v>39</v>
      </c>
      <c r="D13" s="7" t="s">
        <v>552</v>
      </c>
      <c r="E13" s="14" t="s">
        <v>1036</v>
      </c>
      <c r="F13" s="13" t="s">
        <v>1051</v>
      </c>
      <c r="G13" s="13">
        <v>3.5</v>
      </c>
      <c r="H13" s="10">
        <v>0</v>
      </c>
      <c r="I13" s="10">
        <v>0</v>
      </c>
      <c r="J13" s="10">
        <v>0.63400000000000001</v>
      </c>
      <c r="K13" s="24">
        <f t="shared" si="0"/>
        <v>0.63400000000000001</v>
      </c>
    </row>
    <row r="14" spans="1:11" s="5" customFormat="1" ht="28.9" customHeight="1" x14ac:dyDescent="0.25">
      <c r="A14" s="23">
        <v>4</v>
      </c>
      <c r="B14" s="49" t="s">
        <v>2187</v>
      </c>
      <c r="C14" s="15" t="s">
        <v>39</v>
      </c>
      <c r="D14" s="7" t="s">
        <v>515</v>
      </c>
      <c r="E14" s="14" t="s">
        <v>1036</v>
      </c>
      <c r="F14" s="13" t="s">
        <v>1051</v>
      </c>
      <c r="G14" s="13">
        <v>4.5</v>
      </c>
      <c r="H14" s="10">
        <v>0.75</v>
      </c>
      <c r="I14" s="10">
        <v>0.75</v>
      </c>
      <c r="J14" s="10">
        <v>0</v>
      </c>
      <c r="K14" s="24">
        <f t="shared" si="0"/>
        <v>0.75</v>
      </c>
    </row>
    <row r="15" spans="1:11" s="5" customFormat="1" ht="39" customHeight="1" x14ac:dyDescent="0.25">
      <c r="A15" s="23">
        <v>5</v>
      </c>
      <c r="B15" s="49" t="s">
        <v>2188</v>
      </c>
      <c r="C15" s="17" t="s">
        <v>38</v>
      </c>
      <c r="D15" s="7" t="s">
        <v>550</v>
      </c>
      <c r="E15" s="14" t="s">
        <v>1036</v>
      </c>
      <c r="F15" s="13" t="s">
        <v>1051</v>
      </c>
      <c r="G15" s="13">
        <v>3.5</v>
      </c>
      <c r="H15" s="10">
        <v>0</v>
      </c>
      <c r="I15" s="10">
        <v>0</v>
      </c>
      <c r="J15" s="10">
        <v>0.86599999999999999</v>
      </c>
      <c r="K15" s="24">
        <f t="shared" si="0"/>
        <v>0.86599999999999999</v>
      </c>
    </row>
    <row r="16" spans="1:11" s="5" customFormat="1" ht="39" customHeight="1" x14ac:dyDescent="0.25">
      <c r="A16" s="23">
        <v>6</v>
      </c>
      <c r="B16" s="49" t="s">
        <v>2189</v>
      </c>
      <c r="C16" s="17" t="s">
        <v>38</v>
      </c>
      <c r="D16" s="7" t="s">
        <v>551</v>
      </c>
      <c r="E16" s="14" t="s">
        <v>1036</v>
      </c>
      <c r="F16" s="13" t="s">
        <v>1051</v>
      </c>
      <c r="G16" s="13">
        <v>3.5</v>
      </c>
      <c r="H16" s="10">
        <v>0</v>
      </c>
      <c r="I16" s="10">
        <v>0</v>
      </c>
      <c r="J16" s="10">
        <v>0.34</v>
      </c>
      <c r="K16" s="24">
        <f t="shared" si="0"/>
        <v>0.34</v>
      </c>
    </row>
    <row r="17" spans="1:11" s="5" customFormat="1" ht="25.15" customHeight="1" x14ac:dyDescent="0.25">
      <c r="A17" s="23">
        <v>7</v>
      </c>
      <c r="B17" s="49" t="s">
        <v>2190</v>
      </c>
      <c r="C17" s="15" t="s">
        <v>39</v>
      </c>
      <c r="D17" s="7" t="s">
        <v>516</v>
      </c>
      <c r="E17" s="14" t="s">
        <v>1036</v>
      </c>
      <c r="F17" s="13" t="s">
        <v>1051</v>
      </c>
      <c r="G17" s="13">
        <v>4</v>
      </c>
      <c r="H17" s="10">
        <f>0.86+0.123</f>
        <v>0.98299999999999998</v>
      </c>
      <c r="I17" s="10">
        <v>0.98299999999999998</v>
      </c>
      <c r="J17" s="10">
        <v>0</v>
      </c>
      <c r="K17" s="24">
        <f t="shared" si="0"/>
        <v>0.98299999999999998</v>
      </c>
    </row>
    <row r="18" spans="1:11" s="5" customFormat="1" ht="35.25" customHeight="1" x14ac:dyDescent="0.25">
      <c r="A18" s="23">
        <v>8</v>
      </c>
      <c r="B18" s="49" t="s">
        <v>2191</v>
      </c>
      <c r="C18" s="15" t="s">
        <v>39</v>
      </c>
      <c r="D18" s="7" t="s">
        <v>517</v>
      </c>
      <c r="E18" s="14" t="s">
        <v>1036</v>
      </c>
      <c r="F18" s="13" t="s">
        <v>1051</v>
      </c>
      <c r="G18" s="13">
        <v>6</v>
      </c>
      <c r="H18" s="10">
        <f>1.33+0.365</f>
        <v>1.6950000000000001</v>
      </c>
      <c r="I18" s="10">
        <v>1.33</v>
      </c>
      <c r="J18" s="10">
        <f>0.54+0.722</f>
        <v>1.262</v>
      </c>
      <c r="K18" s="24">
        <f t="shared" si="0"/>
        <v>2.9569999999999999</v>
      </c>
    </row>
    <row r="19" spans="1:11" s="5" customFormat="1" ht="32.450000000000003" customHeight="1" x14ac:dyDescent="0.25">
      <c r="A19" s="23">
        <v>9</v>
      </c>
      <c r="B19" s="49" t="s">
        <v>2192</v>
      </c>
      <c r="C19" s="15" t="s">
        <v>39</v>
      </c>
      <c r="D19" s="7" t="s">
        <v>518</v>
      </c>
      <c r="E19" s="14" t="s">
        <v>1036</v>
      </c>
      <c r="F19" s="13" t="s">
        <v>1051</v>
      </c>
      <c r="G19" s="13">
        <v>4</v>
      </c>
      <c r="H19" s="10">
        <f>0.331+1</f>
        <v>1.331</v>
      </c>
      <c r="I19" s="10">
        <f>0.331+1</f>
        <v>1.331</v>
      </c>
      <c r="J19" s="10">
        <f>0.79+0.37+0.254</f>
        <v>1.4140000000000001</v>
      </c>
      <c r="K19" s="24">
        <f t="shared" si="0"/>
        <v>2.7450000000000001</v>
      </c>
    </row>
    <row r="20" spans="1:11" s="5" customFormat="1" ht="28.9" customHeight="1" x14ac:dyDescent="0.25">
      <c r="A20" s="23">
        <v>10</v>
      </c>
      <c r="B20" s="49" t="s">
        <v>2193</v>
      </c>
      <c r="C20" s="15" t="s">
        <v>39</v>
      </c>
      <c r="D20" s="7" t="s">
        <v>519</v>
      </c>
      <c r="E20" s="14" t="s">
        <v>1036</v>
      </c>
      <c r="F20" s="13" t="s">
        <v>1051</v>
      </c>
      <c r="G20" s="13">
        <v>4.5</v>
      </c>
      <c r="H20" s="10">
        <v>0.64300000000000002</v>
      </c>
      <c r="I20" s="10">
        <v>0.64300000000000002</v>
      </c>
      <c r="J20" s="10">
        <f>0.547+0.49+0.32</f>
        <v>1.357</v>
      </c>
      <c r="K20" s="24">
        <f t="shared" si="0"/>
        <v>2</v>
      </c>
    </row>
    <row r="21" spans="1:11" s="5" customFormat="1" ht="34.5" customHeight="1" x14ac:dyDescent="0.25">
      <c r="A21" s="23">
        <v>11</v>
      </c>
      <c r="B21" s="49" t="s">
        <v>2194</v>
      </c>
      <c r="C21" s="17" t="s">
        <v>38</v>
      </c>
      <c r="D21" s="7" t="s">
        <v>520</v>
      </c>
      <c r="E21" s="14" t="s">
        <v>1036</v>
      </c>
      <c r="F21" s="13" t="s">
        <v>1051</v>
      </c>
      <c r="G21" s="13">
        <v>4.5</v>
      </c>
      <c r="H21" s="10">
        <v>0.42</v>
      </c>
      <c r="I21" s="10">
        <v>0.42</v>
      </c>
      <c r="J21" s="10">
        <v>0</v>
      </c>
      <c r="K21" s="24">
        <f t="shared" si="0"/>
        <v>0.42</v>
      </c>
    </row>
    <row r="22" spans="1:11" s="5" customFormat="1" ht="33.75" customHeight="1" x14ac:dyDescent="0.25">
      <c r="A22" s="23">
        <v>12</v>
      </c>
      <c r="B22" s="49" t="s">
        <v>2195</v>
      </c>
      <c r="C22" s="15" t="s">
        <v>39</v>
      </c>
      <c r="D22" s="7" t="s">
        <v>521</v>
      </c>
      <c r="E22" s="14" t="s">
        <v>1036</v>
      </c>
      <c r="F22" s="13" t="s">
        <v>1051</v>
      </c>
      <c r="G22" s="13">
        <v>4</v>
      </c>
      <c r="H22" s="10">
        <v>0.48499999999999999</v>
      </c>
      <c r="I22" s="10">
        <v>0.48499999999999999</v>
      </c>
      <c r="J22" s="10">
        <v>0.27200000000000002</v>
      </c>
      <c r="K22" s="24">
        <f t="shared" si="0"/>
        <v>0.75700000000000001</v>
      </c>
    </row>
    <row r="23" spans="1:11" s="5" customFormat="1" ht="34.5" customHeight="1" x14ac:dyDescent="0.25">
      <c r="A23" s="23">
        <v>13</v>
      </c>
      <c r="B23" s="49" t="s">
        <v>2196</v>
      </c>
      <c r="C23" s="17" t="s">
        <v>38</v>
      </c>
      <c r="D23" s="7" t="s">
        <v>522</v>
      </c>
      <c r="E23" s="14" t="s">
        <v>1036</v>
      </c>
      <c r="F23" s="13" t="s">
        <v>1051</v>
      </c>
      <c r="G23" s="13">
        <v>4</v>
      </c>
      <c r="H23" s="10">
        <v>0.28499999999999998</v>
      </c>
      <c r="I23" s="10">
        <v>0</v>
      </c>
      <c r="J23" s="10">
        <v>0</v>
      </c>
      <c r="K23" s="24">
        <f t="shared" si="0"/>
        <v>0.28499999999999998</v>
      </c>
    </row>
    <row r="24" spans="1:11" s="5" customFormat="1" ht="24.75" customHeight="1" x14ac:dyDescent="0.25">
      <c r="A24" s="23">
        <v>14</v>
      </c>
      <c r="B24" s="49" t="s">
        <v>2197</v>
      </c>
      <c r="C24" s="15" t="s">
        <v>39</v>
      </c>
      <c r="D24" s="7" t="s">
        <v>547</v>
      </c>
      <c r="E24" s="14" t="s">
        <v>1036</v>
      </c>
      <c r="F24" s="13" t="s">
        <v>1051</v>
      </c>
      <c r="G24" s="13">
        <v>3.5</v>
      </c>
      <c r="H24" s="10">
        <v>0</v>
      </c>
      <c r="I24" s="10">
        <v>0</v>
      </c>
      <c r="J24" s="10">
        <f>0.795+0.393</f>
        <v>1.1880000000000002</v>
      </c>
      <c r="K24" s="24">
        <f t="shared" si="0"/>
        <v>1.1880000000000002</v>
      </c>
    </row>
    <row r="25" spans="1:11" s="5" customFormat="1" ht="36" customHeight="1" x14ac:dyDescent="0.25">
      <c r="A25" s="23">
        <v>15</v>
      </c>
      <c r="B25" s="49" t="s">
        <v>2198</v>
      </c>
      <c r="C25" s="17" t="s">
        <v>38</v>
      </c>
      <c r="D25" s="7" t="s">
        <v>548</v>
      </c>
      <c r="E25" s="14" t="s">
        <v>1036</v>
      </c>
      <c r="F25" s="13" t="s">
        <v>1051</v>
      </c>
      <c r="G25" s="13">
        <v>3.5</v>
      </c>
      <c r="H25" s="10">
        <v>0</v>
      </c>
      <c r="I25" s="10">
        <v>0</v>
      </c>
      <c r="J25" s="10">
        <v>0.23100000000000001</v>
      </c>
      <c r="K25" s="24">
        <f t="shared" si="0"/>
        <v>0.23100000000000001</v>
      </c>
    </row>
    <row r="26" spans="1:11" s="5" customFormat="1" ht="34.9" customHeight="1" x14ac:dyDescent="0.25">
      <c r="A26" s="23">
        <v>16</v>
      </c>
      <c r="B26" s="49" t="s">
        <v>2199</v>
      </c>
      <c r="C26" s="15" t="s">
        <v>39</v>
      </c>
      <c r="D26" s="7" t="s">
        <v>523</v>
      </c>
      <c r="E26" s="14" t="s">
        <v>1036</v>
      </c>
      <c r="F26" s="13" t="s">
        <v>1051</v>
      </c>
      <c r="G26" s="13">
        <v>4</v>
      </c>
      <c r="H26" s="10">
        <f>0.183+0.063+0.25</f>
        <v>0.496</v>
      </c>
      <c r="I26" s="10">
        <v>0.496</v>
      </c>
      <c r="J26" s="10">
        <v>0.44</v>
      </c>
      <c r="K26" s="24">
        <f t="shared" si="0"/>
        <v>0.93599999999999994</v>
      </c>
    </row>
    <row r="27" spans="1:11" s="5" customFormat="1" ht="30.6" customHeight="1" x14ac:dyDescent="0.25">
      <c r="A27" s="23">
        <v>17</v>
      </c>
      <c r="B27" s="49" t="s">
        <v>2200</v>
      </c>
      <c r="C27" s="15" t="s">
        <v>39</v>
      </c>
      <c r="D27" s="7" t="s">
        <v>524</v>
      </c>
      <c r="E27" s="14" t="s">
        <v>1036</v>
      </c>
      <c r="F27" s="13" t="s">
        <v>1051</v>
      </c>
      <c r="G27" s="13">
        <v>4</v>
      </c>
      <c r="H27" s="10">
        <v>1.17</v>
      </c>
      <c r="I27" s="10">
        <v>0</v>
      </c>
      <c r="J27" s="10">
        <v>0.79300000000000004</v>
      </c>
      <c r="K27" s="24">
        <f t="shared" si="0"/>
        <v>1.9630000000000001</v>
      </c>
    </row>
    <row r="28" spans="1:11" s="5" customFormat="1" ht="36" customHeight="1" x14ac:dyDescent="0.25">
      <c r="A28" s="23">
        <v>18</v>
      </c>
      <c r="B28" s="49" t="s">
        <v>2201</v>
      </c>
      <c r="C28" s="17" t="s">
        <v>38</v>
      </c>
      <c r="D28" s="7" t="s">
        <v>525</v>
      </c>
      <c r="E28" s="14" t="s">
        <v>1036</v>
      </c>
      <c r="F28" s="13" t="s">
        <v>1051</v>
      </c>
      <c r="G28" s="13">
        <v>4</v>
      </c>
      <c r="H28" s="10">
        <v>0.22</v>
      </c>
      <c r="I28" s="10">
        <v>0.22</v>
      </c>
      <c r="J28" s="10">
        <f>0.345+0.246</f>
        <v>0.59099999999999997</v>
      </c>
      <c r="K28" s="24">
        <f t="shared" si="0"/>
        <v>0.81099999999999994</v>
      </c>
    </row>
    <row r="29" spans="1:11" s="5" customFormat="1" ht="36.75" customHeight="1" x14ac:dyDescent="0.25">
      <c r="A29" s="23">
        <v>19</v>
      </c>
      <c r="B29" s="49" t="s">
        <v>2202</v>
      </c>
      <c r="C29" s="17" t="s">
        <v>38</v>
      </c>
      <c r="D29" s="7" t="s">
        <v>526</v>
      </c>
      <c r="E29" s="14" t="s">
        <v>1036</v>
      </c>
      <c r="F29" s="13" t="s">
        <v>1051</v>
      </c>
      <c r="G29" s="13">
        <v>3.5</v>
      </c>
      <c r="H29" s="10">
        <v>0.18</v>
      </c>
      <c r="I29" s="10">
        <v>0.18</v>
      </c>
      <c r="J29" s="10">
        <v>0</v>
      </c>
      <c r="K29" s="24">
        <f t="shared" si="0"/>
        <v>0.18</v>
      </c>
    </row>
    <row r="30" spans="1:11" s="5" customFormat="1" ht="36.75" customHeight="1" x14ac:dyDescent="0.25">
      <c r="A30" s="23">
        <v>20</v>
      </c>
      <c r="B30" s="49" t="s">
        <v>2203</v>
      </c>
      <c r="C30" s="17" t="s">
        <v>38</v>
      </c>
      <c r="D30" s="7" t="s">
        <v>549</v>
      </c>
      <c r="E30" s="14" t="s">
        <v>1036</v>
      </c>
      <c r="F30" s="13" t="s">
        <v>1051</v>
      </c>
      <c r="G30" s="13">
        <v>3.5</v>
      </c>
      <c r="H30" s="10">
        <v>0</v>
      </c>
      <c r="I30" s="10">
        <v>0</v>
      </c>
      <c r="J30" s="10">
        <v>1.0920000000000001</v>
      </c>
      <c r="K30" s="24">
        <f t="shared" si="0"/>
        <v>1.0920000000000001</v>
      </c>
    </row>
    <row r="31" spans="1:11" s="5" customFormat="1" ht="33.6" customHeight="1" x14ac:dyDescent="0.25">
      <c r="A31" s="23">
        <v>21</v>
      </c>
      <c r="B31" s="49" t="s">
        <v>2204</v>
      </c>
      <c r="C31" s="15" t="s">
        <v>39</v>
      </c>
      <c r="D31" s="7" t="s">
        <v>528</v>
      </c>
      <c r="E31" s="14" t="s">
        <v>1036</v>
      </c>
      <c r="F31" s="13" t="s">
        <v>1051</v>
      </c>
      <c r="G31" s="13">
        <v>4</v>
      </c>
      <c r="H31" s="10">
        <f>1.07+0.23</f>
        <v>1.3</v>
      </c>
      <c r="I31" s="10">
        <v>1.3</v>
      </c>
      <c r="J31" s="10">
        <v>1.4770000000000001</v>
      </c>
      <c r="K31" s="24">
        <f t="shared" si="0"/>
        <v>2.7770000000000001</v>
      </c>
    </row>
    <row r="32" spans="1:11" s="5" customFormat="1" ht="33" customHeight="1" x14ac:dyDescent="0.25">
      <c r="A32" s="23">
        <v>22</v>
      </c>
      <c r="B32" s="49" t="s">
        <v>2205</v>
      </c>
      <c r="C32" s="17" t="s">
        <v>38</v>
      </c>
      <c r="D32" s="7" t="s">
        <v>527</v>
      </c>
      <c r="E32" s="14" t="s">
        <v>1036</v>
      </c>
      <c r="F32" s="13" t="s">
        <v>1051</v>
      </c>
      <c r="G32" s="13">
        <v>4</v>
      </c>
      <c r="H32" s="10">
        <v>0.1</v>
      </c>
      <c r="I32" s="10">
        <v>0.1</v>
      </c>
      <c r="J32" s="10">
        <v>0</v>
      </c>
      <c r="K32" s="24">
        <f t="shared" si="0"/>
        <v>0.1</v>
      </c>
    </row>
    <row r="33" spans="1:11" s="5" customFormat="1" ht="33" customHeight="1" x14ac:dyDescent="0.25">
      <c r="A33" s="23">
        <v>23</v>
      </c>
      <c r="B33" s="49" t="s">
        <v>2206</v>
      </c>
      <c r="C33" s="15" t="s">
        <v>39</v>
      </c>
      <c r="D33" s="7" t="s">
        <v>529</v>
      </c>
      <c r="E33" s="14" t="s">
        <v>1036</v>
      </c>
      <c r="F33" s="13" t="s">
        <v>1051</v>
      </c>
      <c r="G33" s="13">
        <v>4</v>
      </c>
      <c r="H33" s="10">
        <f>1.624+0.727</f>
        <v>2.351</v>
      </c>
      <c r="I33" s="10">
        <v>1.6240000000000001</v>
      </c>
      <c r="J33" s="10">
        <v>0</v>
      </c>
      <c r="K33" s="24">
        <f t="shared" si="0"/>
        <v>2.351</v>
      </c>
    </row>
    <row r="34" spans="1:11" s="5" customFormat="1" ht="32.450000000000003" customHeight="1" x14ac:dyDescent="0.25">
      <c r="A34" s="23">
        <v>24</v>
      </c>
      <c r="B34" s="49" t="s">
        <v>2207</v>
      </c>
      <c r="C34" s="15" t="s">
        <v>39</v>
      </c>
      <c r="D34" s="7" t="s">
        <v>530</v>
      </c>
      <c r="E34" s="14" t="s">
        <v>1036</v>
      </c>
      <c r="F34" s="13" t="s">
        <v>1051</v>
      </c>
      <c r="G34" s="13">
        <v>4</v>
      </c>
      <c r="H34" s="10">
        <f>1.066+0.42</f>
        <v>1.486</v>
      </c>
      <c r="I34" s="10">
        <v>1.486</v>
      </c>
      <c r="J34" s="10">
        <v>0</v>
      </c>
      <c r="K34" s="24">
        <f t="shared" si="0"/>
        <v>1.486</v>
      </c>
    </row>
    <row r="35" spans="1:11" s="5" customFormat="1" ht="28.15" customHeight="1" x14ac:dyDescent="0.25">
      <c r="A35" s="23">
        <v>25</v>
      </c>
      <c r="B35" s="49" t="s">
        <v>2208</v>
      </c>
      <c r="C35" s="15" t="s">
        <v>39</v>
      </c>
      <c r="D35" s="7" t="s">
        <v>531</v>
      </c>
      <c r="E35" s="14" t="s">
        <v>1036</v>
      </c>
      <c r="F35" s="13" t="s">
        <v>1051</v>
      </c>
      <c r="G35" s="13">
        <v>4</v>
      </c>
      <c r="H35" s="10">
        <f>0.12+0.17+0.137</f>
        <v>0.42700000000000005</v>
      </c>
      <c r="I35" s="10">
        <v>0.28999999999999998</v>
      </c>
      <c r="J35" s="10">
        <v>0</v>
      </c>
      <c r="K35" s="24">
        <f t="shared" si="0"/>
        <v>0.42700000000000005</v>
      </c>
    </row>
    <row r="36" spans="1:11" s="5" customFormat="1" ht="28.15" customHeight="1" x14ac:dyDescent="0.25">
      <c r="A36" s="23">
        <v>26</v>
      </c>
      <c r="B36" s="49" t="s">
        <v>2209</v>
      </c>
      <c r="C36" s="15" t="s">
        <v>39</v>
      </c>
      <c r="D36" s="7" t="s">
        <v>532</v>
      </c>
      <c r="E36" s="14" t="s">
        <v>1036</v>
      </c>
      <c r="F36" s="13" t="s">
        <v>1051</v>
      </c>
      <c r="G36" s="13">
        <v>4</v>
      </c>
      <c r="H36" s="10">
        <f>0.315+0.32</f>
        <v>0.63500000000000001</v>
      </c>
      <c r="I36" s="10">
        <v>0.63500000000000001</v>
      </c>
      <c r="J36" s="10">
        <v>0</v>
      </c>
      <c r="K36" s="24">
        <f t="shared" si="0"/>
        <v>0.63500000000000001</v>
      </c>
    </row>
    <row r="37" spans="1:11" s="5" customFormat="1" ht="28.9" customHeight="1" x14ac:dyDescent="0.25">
      <c r="A37" s="23">
        <v>27</v>
      </c>
      <c r="B37" s="49" t="s">
        <v>2210</v>
      </c>
      <c r="C37" s="15" t="s">
        <v>39</v>
      </c>
      <c r="D37" s="7" t="s">
        <v>533</v>
      </c>
      <c r="E37" s="14" t="s">
        <v>1036</v>
      </c>
      <c r="F37" s="13" t="s">
        <v>1051</v>
      </c>
      <c r="G37" s="13">
        <v>3.5</v>
      </c>
      <c r="H37" s="10">
        <f>0.175+0.336</f>
        <v>0.51100000000000001</v>
      </c>
      <c r="I37" s="10">
        <v>0.17499999999999999</v>
      </c>
      <c r="J37" s="10">
        <v>0</v>
      </c>
      <c r="K37" s="24">
        <f t="shared" si="0"/>
        <v>0.51100000000000001</v>
      </c>
    </row>
    <row r="38" spans="1:11" s="5" customFormat="1" ht="28.15" customHeight="1" x14ac:dyDescent="0.25">
      <c r="A38" s="23">
        <v>28</v>
      </c>
      <c r="B38" s="49" t="s">
        <v>2211</v>
      </c>
      <c r="C38" s="15" t="s">
        <v>39</v>
      </c>
      <c r="D38" s="7" t="s">
        <v>534</v>
      </c>
      <c r="E38" s="14" t="s">
        <v>1036</v>
      </c>
      <c r="F38" s="13" t="s">
        <v>1051</v>
      </c>
      <c r="G38" s="13">
        <v>3</v>
      </c>
      <c r="H38" s="10">
        <f>0.568+0.485</f>
        <v>1.0529999999999999</v>
      </c>
      <c r="I38" s="10">
        <v>0.56799999999999995</v>
      </c>
      <c r="J38" s="10">
        <v>0</v>
      </c>
      <c r="K38" s="24">
        <f t="shared" si="0"/>
        <v>1.0529999999999999</v>
      </c>
    </row>
    <row r="39" spans="1:11" s="5" customFormat="1" ht="38.25" customHeight="1" x14ac:dyDescent="0.25">
      <c r="A39" s="23">
        <v>29</v>
      </c>
      <c r="B39" s="49" t="s">
        <v>2212</v>
      </c>
      <c r="C39" s="17" t="s">
        <v>38</v>
      </c>
      <c r="D39" s="7" t="s">
        <v>535</v>
      </c>
      <c r="E39" s="14" t="s">
        <v>1036</v>
      </c>
      <c r="F39" s="13" t="s">
        <v>1051</v>
      </c>
      <c r="G39" s="13">
        <v>4.5</v>
      </c>
      <c r="H39" s="10">
        <v>1.48</v>
      </c>
      <c r="I39" s="10">
        <v>1.48</v>
      </c>
      <c r="J39" s="10">
        <v>0</v>
      </c>
      <c r="K39" s="24">
        <f t="shared" si="0"/>
        <v>1.48</v>
      </c>
    </row>
    <row r="40" spans="1:11" s="5" customFormat="1" ht="27.6" customHeight="1" x14ac:dyDescent="0.25">
      <c r="A40" s="23">
        <v>30</v>
      </c>
      <c r="B40" s="49" t="s">
        <v>2213</v>
      </c>
      <c r="C40" s="15" t="s">
        <v>39</v>
      </c>
      <c r="D40" s="7" t="s">
        <v>536</v>
      </c>
      <c r="E40" s="14" t="s">
        <v>1036</v>
      </c>
      <c r="F40" s="13" t="s">
        <v>1051</v>
      </c>
      <c r="G40" s="13">
        <v>3.5</v>
      </c>
      <c r="H40" s="10">
        <f>0.899+0.075+0.141</f>
        <v>1.115</v>
      </c>
      <c r="I40" s="10">
        <f>0.899+0.075</f>
        <v>0.97399999999999998</v>
      </c>
      <c r="J40" s="10">
        <v>0</v>
      </c>
      <c r="K40" s="24">
        <f t="shared" si="0"/>
        <v>1.115</v>
      </c>
    </row>
    <row r="41" spans="1:11" s="5" customFormat="1" ht="31.15" customHeight="1" x14ac:dyDescent="0.25">
      <c r="A41" s="23">
        <v>31</v>
      </c>
      <c r="B41" s="49" t="s">
        <v>2214</v>
      </c>
      <c r="C41" s="15" t="s">
        <v>39</v>
      </c>
      <c r="D41" s="7" t="s">
        <v>537</v>
      </c>
      <c r="E41" s="14" t="s">
        <v>1036</v>
      </c>
      <c r="F41" s="13" t="s">
        <v>1051</v>
      </c>
      <c r="G41" s="13">
        <v>4</v>
      </c>
      <c r="H41" s="10">
        <v>0.17799999999999999</v>
      </c>
      <c r="I41" s="10">
        <v>0</v>
      </c>
      <c r="J41" s="10">
        <v>0</v>
      </c>
      <c r="K41" s="24">
        <f t="shared" si="0"/>
        <v>0.17799999999999999</v>
      </c>
    </row>
    <row r="42" spans="1:11" s="5" customFormat="1" ht="30.6" customHeight="1" x14ac:dyDescent="0.25">
      <c r="A42" s="23">
        <v>32</v>
      </c>
      <c r="B42" s="49" t="s">
        <v>2215</v>
      </c>
      <c r="C42" s="15" t="s">
        <v>39</v>
      </c>
      <c r="D42" s="7" t="s">
        <v>538</v>
      </c>
      <c r="E42" s="14" t="s">
        <v>1036</v>
      </c>
      <c r="F42" s="13" t="s">
        <v>1051</v>
      </c>
      <c r="G42" s="13">
        <v>3</v>
      </c>
      <c r="H42" s="10">
        <v>0.68600000000000005</v>
      </c>
      <c r="I42" s="10">
        <v>0.68600000000000005</v>
      </c>
      <c r="J42" s="10">
        <v>0</v>
      </c>
      <c r="K42" s="24">
        <f t="shared" si="0"/>
        <v>0.68600000000000005</v>
      </c>
    </row>
    <row r="43" spans="1:11" s="5" customFormat="1" ht="27" customHeight="1" x14ac:dyDescent="0.25">
      <c r="A43" s="23">
        <v>33</v>
      </c>
      <c r="B43" s="49" t="s">
        <v>2216</v>
      </c>
      <c r="C43" s="17" t="s">
        <v>38</v>
      </c>
      <c r="D43" s="7" t="s">
        <v>539</v>
      </c>
      <c r="E43" s="14" t="s">
        <v>1036</v>
      </c>
      <c r="F43" s="13" t="s">
        <v>1051</v>
      </c>
      <c r="G43" s="13">
        <v>4</v>
      </c>
      <c r="H43" s="10">
        <v>0.61499999999999999</v>
      </c>
      <c r="I43" s="10">
        <v>0.61499999999999999</v>
      </c>
      <c r="J43" s="10">
        <v>0</v>
      </c>
      <c r="K43" s="24">
        <f t="shared" si="0"/>
        <v>0.61499999999999999</v>
      </c>
    </row>
    <row r="44" spans="1:11" s="5" customFormat="1" ht="39" customHeight="1" x14ac:dyDescent="0.25">
      <c r="A44" s="23">
        <v>34</v>
      </c>
      <c r="B44" s="49" t="s">
        <v>2217</v>
      </c>
      <c r="C44" s="17" t="s">
        <v>38</v>
      </c>
      <c r="D44" s="7" t="s">
        <v>540</v>
      </c>
      <c r="E44" s="14" t="s">
        <v>1036</v>
      </c>
      <c r="F44" s="13" t="s">
        <v>1051</v>
      </c>
      <c r="G44" s="13">
        <v>4</v>
      </c>
      <c r="H44" s="10">
        <v>0</v>
      </c>
      <c r="I44" s="10">
        <v>0</v>
      </c>
      <c r="J44" s="10">
        <v>1.1739999999999999</v>
      </c>
      <c r="K44" s="24">
        <f t="shared" si="0"/>
        <v>1.1739999999999999</v>
      </c>
    </row>
    <row r="45" spans="1:11" s="5" customFormat="1" ht="24.6" customHeight="1" x14ac:dyDescent="0.25">
      <c r="A45" s="23">
        <v>35</v>
      </c>
      <c r="B45" s="49" t="s">
        <v>2218</v>
      </c>
      <c r="C45" s="15" t="s">
        <v>39</v>
      </c>
      <c r="D45" s="7" t="s">
        <v>541</v>
      </c>
      <c r="E45" s="14" t="s">
        <v>1036</v>
      </c>
      <c r="F45" s="13" t="s">
        <v>1051</v>
      </c>
      <c r="G45" s="13">
        <v>4</v>
      </c>
      <c r="H45" s="10">
        <f>0.247+0.23</f>
        <v>0.47699999999999998</v>
      </c>
      <c r="I45" s="10">
        <v>0.23</v>
      </c>
      <c r="J45" s="10">
        <v>0.27</v>
      </c>
      <c r="K45" s="24">
        <f t="shared" si="0"/>
        <v>0.747</v>
      </c>
    </row>
    <row r="46" spans="1:11" s="5" customFormat="1" ht="35.25" customHeight="1" x14ac:dyDescent="0.25">
      <c r="A46" s="23">
        <v>36</v>
      </c>
      <c r="B46" s="49" t="s">
        <v>2219</v>
      </c>
      <c r="C46" s="15" t="s">
        <v>39</v>
      </c>
      <c r="D46" s="7" t="s">
        <v>542</v>
      </c>
      <c r="E46" s="14" t="s">
        <v>1036</v>
      </c>
      <c r="F46" s="13" t="s">
        <v>1051</v>
      </c>
      <c r="G46" s="13">
        <v>3.5</v>
      </c>
      <c r="H46" s="10">
        <f>0.692+0.263</f>
        <v>0.95499999999999996</v>
      </c>
      <c r="I46" s="10">
        <v>0.69199999999999995</v>
      </c>
      <c r="J46" s="10">
        <v>0</v>
      </c>
      <c r="K46" s="24">
        <f t="shared" si="0"/>
        <v>0.95499999999999996</v>
      </c>
    </row>
    <row r="47" spans="1:11" s="5" customFormat="1" ht="28.15" customHeight="1" x14ac:dyDescent="0.25">
      <c r="A47" s="23">
        <v>37</v>
      </c>
      <c r="B47" s="49" t="s">
        <v>2220</v>
      </c>
      <c r="C47" s="17" t="s">
        <v>38</v>
      </c>
      <c r="D47" s="7" t="s">
        <v>543</v>
      </c>
      <c r="E47" s="14" t="s">
        <v>1036</v>
      </c>
      <c r="F47" s="13" t="s">
        <v>1051</v>
      </c>
      <c r="G47" s="13">
        <v>3.5</v>
      </c>
      <c r="H47" s="10">
        <v>0.14499999999999999</v>
      </c>
      <c r="I47" s="10">
        <v>0.14499999999999999</v>
      </c>
      <c r="J47" s="10">
        <v>0</v>
      </c>
      <c r="K47" s="24">
        <f t="shared" si="0"/>
        <v>0.14499999999999999</v>
      </c>
    </row>
    <row r="48" spans="1:11" s="5" customFormat="1" ht="33.6" customHeight="1" x14ac:dyDescent="0.25">
      <c r="A48" s="23">
        <v>38</v>
      </c>
      <c r="B48" s="49" t="s">
        <v>2221</v>
      </c>
      <c r="C48" s="15" t="s">
        <v>39</v>
      </c>
      <c r="D48" s="7" t="s">
        <v>544</v>
      </c>
      <c r="E48" s="14" t="s">
        <v>1036</v>
      </c>
      <c r="F48" s="13" t="s">
        <v>1051</v>
      </c>
      <c r="G48" s="13">
        <v>4</v>
      </c>
      <c r="H48" s="10">
        <f>0.63+0.043</f>
        <v>0.67300000000000004</v>
      </c>
      <c r="I48" s="10">
        <v>0.63</v>
      </c>
      <c r="J48" s="10">
        <v>0</v>
      </c>
      <c r="K48" s="24">
        <f t="shared" si="0"/>
        <v>0.67300000000000004</v>
      </c>
    </row>
    <row r="49" spans="1:11" s="5" customFormat="1" ht="35.25" customHeight="1" x14ac:dyDescent="0.25">
      <c r="A49" s="23">
        <v>39</v>
      </c>
      <c r="B49" s="49" t="s">
        <v>2222</v>
      </c>
      <c r="C49" s="17" t="s">
        <v>38</v>
      </c>
      <c r="D49" s="7" t="s">
        <v>545</v>
      </c>
      <c r="E49" s="14" t="s">
        <v>1036</v>
      </c>
      <c r="F49" s="13" t="s">
        <v>1051</v>
      </c>
      <c r="G49" s="13">
        <v>3.5</v>
      </c>
      <c r="H49" s="10">
        <v>0</v>
      </c>
      <c r="I49" s="10">
        <v>0</v>
      </c>
      <c r="J49" s="10">
        <v>0.85799999999999998</v>
      </c>
      <c r="K49" s="24">
        <f t="shared" si="0"/>
        <v>0.85799999999999998</v>
      </c>
    </row>
    <row r="50" spans="1:11" s="5" customFormat="1" ht="39" customHeight="1" x14ac:dyDescent="0.25">
      <c r="A50" s="23">
        <v>40</v>
      </c>
      <c r="B50" s="49" t="s">
        <v>2223</v>
      </c>
      <c r="C50" s="17" t="s">
        <v>38</v>
      </c>
      <c r="D50" s="7" t="s">
        <v>546</v>
      </c>
      <c r="E50" s="14" t="s">
        <v>1036</v>
      </c>
      <c r="F50" s="13" t="s">
        <v>1051</v>
      </c>
      <c r="G50" s="13">
        <v>3.5</v>
      </c>
      <c r="H50" s="10">
        <v>0</v>
      </c>
      <c r="I50" s="10">
        <v>0</v>
      </c>
      <c r="J50" s="10">
        <v>0.46300000000000002</v>
      </c>
      <c r="K50" s="24">
        <f t="shared" si="0"/>
        <v>0.46300000000000002</v>
      </c>
    </row>
    <row r="51" spans="1:11" s="5" customFormat="1" ht="31.9" customHeight="1" x14ac:dyDescent="0.25">
      <c r="A51" s="23">
        <v>41</v>
      </c>
      <c r="B51" s="49" t="s">
        <v>2224</v>
      </c>
      <c r="C51" s="17" t="s">
        <v>38</v>
      </c>
      <c r="D51" s="7" t="s">
        <v>553</v>
      </c>
      <c r="E51" s="14" t="s">
        <v>1036</v>
      </c>
      <c r="F51" s="13" t="s">
        <v>1051</v>
      </c>
      <c r="G51" s="13">
        <v>3.5</v>
      </c>
      <c r="H51" s="10">
        <v>0</v>
      </c>
      <c r="I51" s="10">
        <v>0</v>
      </c>
      <c r="J51" s="10">
        <v>1.9570000000000001</v>
      </c>
      <c r="K51" s="24">
        <f t="shared" si="0"/>
        <v>1.9570000000000001</v>
      </c>
    </row>
    <row r="52" spans="1:11" s="5" customFormat="1" ht="31.5" customHeight="1" x14ac:dyDescent="0.25">
      <c r="A52" s="23">
        <v>42</v>
      </c>
      <c r="B52" s="49" t="s">
        <v>2225</v>
      </c>
      <c r="C52" s="17" t="s">
        <v>38</v>
      </c>
      <c r="D52" s="7" t="s">
        <v>554</v>
      </c>
      <c r="E52" s="14" t="s">
        <v>1036</v>
      </c>
      <c r="F52" s="13" t="s">
        <v>1051</v>
      </c>
      <c r="G52" s="13">
        <v>3.5</v>
      </c>
      <c r="H52" s="10">
        <v>0</v>
      </c>
      <c r="I52" s="10">
        <v>0</v>
      </c>
      <c r="J52" s="10">
        <v>9.9049999999999994</v>
      </c>
      <c r="K52" s="24">
        <f t="shared" si="0"/>
        <v>9.9049999999999994</v>
      </c>
    </row>
    <row r="53" spans="1:11" s="5" customFormat="1" ht="31.9" customHeight="1" x14ac:dyDescent="0.25">
      <c r="A53" s="23">
        <v>43</v>
      </c>
      <c r="B53" s="49" t="s">
        <v>2226</v>
      </c>
      <c r="C53" s="17" t="s">
        <v>38</v>
      </c>
      <c r="D53" s="7" t="s">
        <v>555</v>
      </c>
      <c r="E53" s="14" t="s">
        <v>1036</v>
      </c>
      <c r="F53" s="13" t="s">
        <v>1051</v>
      </c>
      <c r="G53" s="13">
        <v>3.5</v>
      </c>
      <c r="H53" s="10">
        <v>0</v>
      </c>
      <c r="I53" s="10">
        <v>0</v>
      </c>
      <c r="J53" s="10">
        <v>4.3330000000000002</v>
      </c>
      <c r="K53" s="24">
        <f t="shared" si="0"/>
        <v>4.3330000000000002</v>
      </c>
    </row>
    <row r="54" spans="1:11" s="5" customFormat="1" ht="27" customHeight="1" x14ac:dyDescent="0.25">
      <c r="A54" s="23">
        <v>44</v>
      </c>
      <c r="B54" s="49" t="s">
        <v>2227</v>
      </c>
      <c r="C54" s="17" t="s">
        <v>38</v>
      </c>
      <c r="D54" s="7" t="s">
        <v>556</v>
      </c>
      <c r="E54" s="14" t="s">
        <v>1036</v>
      </c>
      <c r="F54" s="13" t="s">
        <v>1051</v>
      </c>
      <c r="G54" s="13">
        <v>3.5</v>
      </c>
      <c r="H54" s="10">
        <v>0</v>
      </c>
      <c r="I54" s="10">
        <v>0</v>
      </c>
      <c r="J54" s="10">
        <v>8.0280000000000005</v>
      </c>
      <c r="K54" s="24">
        <f t="shared" si="0"/>
        <v>8.0280000000000005</v>
      </c>
    </row>
    <row r="55" spans="1:11" s="5" customFormat="1" ht="28.9" customHeight="1" x14ac:dyDescent="0.25">
      <c r="A55" s="23">
        <v>45</v>
      </c>
      <c r="B55" s="49" t="s">
        <v>2228</v>
      </c>
      <c r="C55" s="17" t="s">
        <v>38</v>
      </c>
      <c r="D55" s="7" t="s">
        <v>557</v>
      </c>
      <c r="E55" s="14" t="s">
        <v>1036</v>
      </c>
      <c r="F55" s="13" t="s">
        <v>1051</v>
      </c>
      <c r="G55" s="13">
        <v>3.5</v>
      </c>
      <c r="H55" s="10">
        <v>0</v>
      </c>
      <c r="I55" s="10">
        <v>0</v>
      </c>
      <c r="J55" s="10">
        <v>4.87</v>
      </c>
      <c r="K55" s="24">
        <f t="shared" si="0"/>
        <v>4.87</v>
      </c>
    </row>
    <row r="56" spans="1:11" s="5" customFormat="1" ht="32.25" customHeight="1" x14ac:dyDescent="0.25">
      <c r="A56" s="23">
        <v>46</v>
      </c>
      <c r="B56" s="49" t="s">
        <v>2229</v>
      </c>
      <c r="C56" s="17" t="s">
        <v>38</v>
      </c>
      <c r="D56" s="7" t="s">
        <v>558</v>
      </c>
      <c r="E56" s="14" t="s">
        <v>1036</v>
      </c>
      <c r="F56" s="13" t="s">
        <v>1051</v>
      </c>
      <c r="G56" s="13">
        <v>3.5</v>
      </c>
      <c r="H56" s="10">
        <v>0</v>
      </c>
      <c r="I56" s="10">
        <v>0</v>
      </c>
      <c r="J56" s="10">
        <v>12.02</v>
      </c>
      <c r="K56" s="24">
        <f t="shared" si="0"/>
        <v>12.02</v>
      </c>
    </row>
    <row r="57" spans="1:11" s="5" customFormat="1" ht="28.15" customHeight="1" x14ac:dyDescent="0.25">
      <c r="A57" s="23">
        <v>47</v>
      </c>
      <c r="B57" s="49" t="s">
        <v>2230</v>
      </c>
      <c r="C57" s="17" t="s">
        <v>38</v>
      </c>
      <c r="D57" s="7" t="s">
        <v>559</v>
      </c>
      <c r="E57" s="14" t="s">
        <v>1036</v>
      </c>
      <c r="F57" s="13" t="s">
        <v>1051</v>
      </c>
      <c r="G57" s="13">
        <v>3.5</v>
      </c>
      <c r="H57" s="10">
        <v>0</v>
      </c>
      <c r="I57" s="10">
        <v>0</v>
      </c>
      <c r="J57" s="10">
        <v>1.8129999999999999</v>
      </c>
      <c r="K57" s="24">
        <f t="shared" si="0"/>
        <v>1.8129999999999999</v>
      </c>
    </row>
  </sheetData>
  <sheetProtection insertRows="0" deleteRows="0" sort="0"/>
  <mergeCells count="9">
    <mergeCell ref="K7:K8"/>
    <mergeCell ref="F7:F8"/>
    <mergeCell ref="G7:G8"/>
    <mergeCell ref="C1:I1"/>
    <mergeCell ref="A7:A8"/>
    <mergeCell ref="B7:B8"/>
    <mergeCell ref="C7:C8"/>
    <mergeCell ref="D7:D8"/>
    <mergeCell ref="E7:E8"/>
  </mergeCells>
  <conditionalFormatting sqref="K11:K57">
    <cfRule type="expression" dxfId="22" priority="2">
      <formula>$H11+$J11&lt;&gt;$K11</formula>
    </cfRule>
  </conditionalFormatting>
  <conditionalFormatting sqref="H10:K10">
    <cfRule type="expression" dxfId="21" priority="252">
      <formula>H$10&lt;&gt;SUM(H$11:H$196)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A35" zoomScaleNormal="100" zoomScaleSheetLayoutView="80" workbookViewId="0">
      <selection activeCell="J40" sqref="J40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4.140625" style="4" customWidth="1"/>
    <col min="5" max="5" width="23" style="4" customWidth="1"/>
    <col min="6" max="7" width="10.42578125" style="4" customWidth="1"/>
    <col min="8" max="8" width="12.28515625" style="4" customWidth="1"/>
    <col min="9" max="9" width="15.5703125" style="4" customWidth="1"/>
    <col min="10" max="10" width="10.85546875" style="4" customWidth="1"/>
    <col min="11" max="11" width="14.7109375" style="4" customWidth="1"/>
    <col min="12" max="16384" width="9.140625" style="4"/>
  </cols>
  <sheetData>
    <row r="1" spans="1:11" ht="28.9" customHeight="1" x14ac:dyDescent="0.25">
      <c r="B1" s="5"/>
      <c r="C1" s="180" t="s">
        <v>3245</v>
      </c>
      <c r="D1" s="180"/>
      <c r="E1" s="180"/>
      <c r="F1" s="180"/>
      <c r="G1" s="180"/>
      <c r="H1" s="180"/>
      <c r="I1" s="180"/>
      <c r="J1" s="5"/>
    </row>
    <row r="2" spans="1:1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x14ac:dyDescent="0.25">
      <c r="C4" s="152"/>
      <c r="D4" s="152"/>
      <c r="E4" s="152"/>
      <c r="F4" s="152"/>
      <c r="G4" s="152"/>
      <c r="H4" s="152"/>
      <c r="I4" s="152"/>
      <c r="K4" s="153" t="s">
        <v>3246</v>
      </c>
    </row>
    <row r="5" spans="1:11" x14ac:dyDescent="0.25">
      <c r="K5" s="153" t="s">
        <v>3247</v>
      </c>
    </row>
    <row r="7" spans="1:11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43"/>
      <c r="I7" s="44" t="s">
        <v>16</v>
      </c>
      <c r="J7" s="51"/>
      <c r="K7" s="178" t="s">
        <v>5</v>
      </c>
    </row>
    <row r="8" spans="1:11" s="5" customFormat="1" ht="60" customHeight="1" thickBot="1" x14ac:dyDescent="0.3">
      <c r="A8" s="184"/>
      <c r="B8" s="184"/>
      <c r="C8" s="184"/>
      <c r="D8" s="184"/>
      <c r="E8" s="184"/>
      <c r="F8" s="184"/>
      <c r="G8" s="179"/>
      <c r="H8" s="25" t="s">
        <v>3</v>
      </c>
      <c r="I8" s="25" t="s">
        <v>24</v>
      </c>
      <c r="J8" s="39" t="s">
        <v>4</v>
      </c>
      <c r="K8" s="184"/>
    </row>
    <row r="9" spans="1:11" s="5" customFormat="1" ht="21.75" customHeight="1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8">
        <v>9</v>
      </c>
      <c r="J9" s="28">
        <v>10</v>
      </c>
      <c r="K9" s="30">
        <v>11</v>
      </c>
    </row>
    <row r="10" spans="1:11" s="5" customFormat="1" ht="29.25" customHeight="1" x14ac:dyDescent="0.25">
      <c r="A10" s="18" t="s">
        <v>2</v>
      </c>
      <c r="B10" s="19"/>
      <c r="C10" s="19"/>
      <c r="D10" s="19"/>
      <c r="E10" s="19"/>
      <c r="F10" s="20"/>
      <c r="G10" s="20"/>
      <c r="H10" s="21">
        <f>SUM(H11:H219)</f>
        <v>27.257000000000001</v>
      </c>
      <c r="I10" s="21">
        <f>SUM(I11:I219)</f>
        <v>10.576000000000002</v>
      </c>
      <c r="J10" s="21">
        <f>SUM(J11:J219)</f>
        <v>29.605</v>
      </c>
      <c r="K10" s="22">
        <f>SUM(K11:K219)</f>
        <v>56.862000000000009</v>
      </c>
    </row>
    <row r="11" spans="1:11" s="5" customFormat="1" ht="29.25" customHeight="1" x14ac:dyDescent="0.25">
      <c r="A11" s="23">
        <v>1</v>
      </c>
      <c r="B11" s="49" t="s">
        <v>2231</v>
      </c>
      <c r="C11" s="15" t="s">
        <v>39</v>
      </c>
      <c r="D11" s="7" t="s">
        <v>919</v>
      </c>
      <c r="E11" s="14" t="s">
        <v>1037</v>
      </c>
      <c r="F11" s="13" t="s">
        <v>1051</v>
      </c>
      <c r="G11" s="13">
        <v>4</v>
      </c>
      <c r="H11" s="10">
        <f>1.039+0.335</f>
        <v>1.3739999999999999</v>
      </c>
      <c r="I11" s="10">
        <v>1.0389999999999999</v>
      </c>
      <c r="J11" s="10">
        <v>0</v>
      </c>
      <c r="K11" s="24">
        <f>SUM(J11,H11)</f>
        <v>1.3739999999999999</v>
      </c>
    </row>
    <row r="12" spans="1:11" s="5" customFormat="1" ht="27.6" customHeight="1" x14ac:dyDescent="0.25">
      <c r="A12" s="23">
        <v>2</v>
      </c>
      <c r="B12" s="49" t="s">
        <v>2232</v>
      </c>
      <c r="C12" s="15" t="s">
        <v>39</v>
      </c>
      <c r="D12" s="7" t="s">
        <v>920</v>
      </c>
      <c r="E12" s="14" t="s">
        <v>1037</v>
      </c>
      <c r="F12" s="13" t="s">
        <v>1051</v>
      </c>
      <c r="G12" s="13">
        <v>4</v>
      </c>
      <c r="H12" s="10">
        <f>0.246+0.541+0.187+0.068</f>
        <v>1.042</v>
      </c>
      <c r="I12" s="10">
        <v>1.042</v>
      </c>
      <c r="J12" s="10">
        <v>0</v>
      </c>
      <c r="K12" s="24">
        <f t="shared" ref="K12:K48" si="0">SUM(J12,H12)</f>
        <v>1.042</v>
      </c>
    </row>
    <row r="13" spans="1:11" s="5" customFormat="1" ht="27.6" customHeight="1" x14ac:dyDescent="0.25">
      <c r="A13" s="23">
        <v>3</v>
      </c>
      <c r="B13" s="49" t="s">
        <v>2233</v>
      </c>
      <c r="C13" s="15" t="s">
        <v>39</v>
      </c>
      <c r="D13" s="7" t="s">
        <v>921</v>
      </c>
      <c r="E13" s="14" t="s">
        <v>1037</v>
      </c>
      <c r="F13" s="13" t="s">
        <v>1051</v>
      </c>
      <c r="G13" s="13">
        <v>3.5</v>
      </c>
      <c r="H13" s="10">
        <v>0.371</v>
      </c>
      <c r="I13" s="10">
        <v>0.371</v>
      </c>
      <c r="J13" s="10">
        <v>0</v>
      </c>
      <c r="K13" s="24">
        <f t="shared" si="0"/>
        <v>0.371</v>
      </c>
    </row>
    <row r="14" spans="1:11" s="5" customFormat="1" ht="34.15" customHeight="1" x14ac:dyDescent="0.25">
      <c r="A14" s="23">
        <v>4</v>
      </c>
      <c r="B14" s="49" t="s">
        <v>2234</v>
      </c>
      <c r="C14" s="15" t="s">
        <v>976</v>
      </c>
      <c r="D14" s="7" t="s">
        <v>922</v>
      </c>
      <c r="E14" s="14" t="s">
        <v>1037</v>
      </c>
      <c r="F14" s="13" t="s">
        <v>1051</v>
      </c>
      <c r="G14" s="13">
        <v>3.5</v>
      </c>
      <c r="H14" s="10">
        <v>0.39300000000000002</v>
      </c>
      <c r="I14" s="10">
        <v>0</v>
      </c>
      <c r="J14" s="10">
        <v>0</v>
      </c>
      <c r="K14" s="24">
        <f t="shared" si="0"/>
        <v>0.39300000000000002</v>
      </c>
    </row>
    <row r="15" spans="1:11" s="5" customFormat="1" ht="31.15" customHeight="1" x14ac:dyDescent="0.25">
      <c r="A15" s="23">
        <v>5</v>
      </c>
      <c r="B15" s="49" t="s">
        <v>2235</v>
      </c>
      <c r="C15" s="15" t="s">
        <v>976</v>
      </c>
      <c r="D15" s="7" t="s">
        <v>923</v>
      </c>
      <c r="E15" s="14" t="s">
        <v>1037</v>
      </c>
      <c r="F15" s="13" t="s">
        <v>1051</v>
      </c>
      <c r="G15" s="13">
        <v>2.5</v>
      </c>
      <c r="H15" s="10">
        <v>0.255</v>
      </c>
      <c r="I15" s="10">
        <v>0.112</v>
      </c>
      <c r="J15" s="10">
        <v>0</v>
      </c>
      <c r="K15" s="24">
        <f t="shared" si="0"/>
        <v>0.255</v>
      </c>
    </row>
    <row r="16" spans="1:11" s="5" customFormat="1" ht="31.15" customHeight="1" x14ac:dyDescent="0.25">
      <c r="A16" s="23">
        <v>6</v>
      </c>
      <c r="B16" s="49" t="s">
        <v>2236</v>
      </c>
      <c r="C16" s="15" t="s">
        <v>39</v>
      </c>
      <c r="D16" s="7" t="s">
        <v>924</v>
      </c>
      <c r="E16" s="14" t="s">
        <v>1037</v>
      </c>
      <c r="F16" s="13" t="s">
        <v>1051</v>
      </c>
      <c r="G16" s="13">
        <v>3.5</v>
      </c>
      <c r="H16" s="10">
        <v>0.26200000000000001</v>
      </c>
      <c r="I16" s="10">
        <v>0.26200000000000001</v>
      </c>
      <c r="J16" s="10">
        <v>0</v>
      </c>
      <c r="K16" s="24">
        <f t="shared" si="0"/>
        <v>0.26200000000000001</v>
      </c>
    </row>
    <row r="17" spans="1:11" s="5" customFormat="1" ht="29.45" customHeight="1" x14ac:dyDescent="0.25">
      <c r="A17" s="23">
        <v>7</v>
      </c>
      <c r="B17" s="49" t="s">
        <v>2237</v>
      </c>
      <c r="C17" s="15" t="s">
        <v>39</v>
      </c>
      <c r="D17" s="7" t="s">
        <v>925</v>
      </c>
      <c r="E17" s="14" t="s">
        <v>1037</v>
      </c>
      <c r="F17" s="13" t="s">
        <v>1051</v>
      </c>
      <c r="G17" s="13">
        <v>3.5</v>
      </c>
      <c r="H17" s="10">
        <v>0.47099999999999997</v>
      </c>
      <c r="I17" s="10">
        <v>0.22800000000000001</v>
      </c>
      <c r="J17" s="10">
        <v>0</v>
      </c>
      <c r="K17" s="24">
        <f t="shared" si="0"/>
        <v>0.47099999999999997</v>
      </c>
    </row>
    <row r="18" spans="1:11" s="5" customFormat="1" ht="37.15" customHeight="1" x14ac:dyDescent="0.25">
      <c r="A18" s="23">
        <v>8</v>
      </c>
      <c r="B18" s="49" t="s">
        <v>2238</v>
      </c>
      <c r="C18" s="15" t="s">
        <v>38</v>
      </c>
      <c r="D18" s="7" t="s">
        <v>926</v>
      </c>
      <c r="E18" s="14" t="s">
        <v>1037</v>
      </c>
      <c r="F18" s="13" t="s">
        <v>1051</v>
      </c>
      <c r="G18" s="13">
        <v>3.5</v>
      </c>
      <c r="H18" s="10">
        <v>0.373</v>
      </c>
      <c r="I18" s="10">
        <v>0</v>
      </c>
      <c r="J18" s="10">
        <v>0</v>
      </c>
      <c r="K18" s="24">
        <f t="shared" si="0"/>
        <v>0.373</v>
      </c>
    </row>
    <row r="19" spans="1:11" s="5" customFormat="1" ht="27.6" customHeight="1" x14ac:dyDescent="0.25">
      <c r="A19" s="23">
        <v>9</v>
      </c>
      <c r="B19" s="49" t="s">
        <v>2239</v>
      </c>
      <c r="C19" s="15" t="s">
        <v>39</v>
      </c>
      <c r="D19" s="7" t="s">
        <v>927</v>
      </c>
      <c r="E19" s="14" t="s">
        <v>1037</v>
      </c>
      <c r="F19" s="13" t="s">
        <v>1051</v>
      </c>
      <c r="G19" s="13">
        <v>3.5</v>
      </c>
      <c r="H19" s="10">
        <f>0.284+0.516</f>
        <v>0.8</v>
      </c>
      <c r="I19" s="10">
        <v>0</v>
      </c>
      <c r="J19" s="10">
        <v>0</v>
      </c>
      <c r="K19" s="24">
        <f t="shared" si="0"/>
        <v>0.8</v>
      </c>
    </row>
    <row r="20" spans="1:11" s="5" customFormat="1" ht="25.9" customHeight="1" x14ac:dyDescent="0.25">
      <c r="A20" s="23">
        <v>10</v>
      </c>
      <c r="B20" s="49" t="s">
        <v>2240</v>
      </c>
      <c r="C20" s="15" t="s">
        <v>39</v>
      </c>
      <c r="D20" s="7" t="s">
        <v>928</v>
      </c>
      <c r="E20" s="14" t="s">
        <v>1037</v>
      </c>
      <c r="F20" s="13" t="s">
        <v>1051</v>
      </c>
      <c r="G20" s="13">
        <v>3</v>
      </c>
      <c r="H20" s="10">
        <f>0.177+0.227+0.066+0.471</f>
        <v>0.94100000000000006</v>
      </c>
      <c r="I20" s="10">
        <f>0.177+0.227</f>
        <v>0.40400000000000003</v>
      </c>
      <c r="J20" s="10">
        <v>0</v>
      </c>
      <c r="K20" s="24">
        <f t="shared" si="0"/>
        <v>0.94100000000000006</v>
      </c>
    </row>
    <row r="21" spans="1:11" s="5" customFormat="1" ht="31.9" customHeight="1" x14ac:dyDescent="0.25">
      <c r="A21" s="23">
        <v>11</v>
      </c>
      <c r="B21" s="49" t="s">
        <v>2241</v>
      </c>
      <c r="C21" s="15" t="s">
        <v>39</v>
      </c>
      <c r="D21" s="7" t="s">
        <v>929</v>
      </c>
      <c r="E21" s="14" t="s">
        <v>1037</v>
      </c>
      <c r="F21" s="13" t="s">
        <v>1051</v>
      </c>
      <c r="G21" s="13">
        <v>4</v>
      </c>
      <c r="H21" s="10">
        <f>0.303+0.178+0.552</f>
        <v>1.0329999999999999</v>
      </c>
      <c r="I21" s="10">
        <v>0.745</v>
      </c>
      <c r="J21" s="10">
        <v>0</v>
      </c>
      <c r="K21" s="24">
        <f t="shared" si="0"/>
        <v>1.0329999999999999</v>
      </c>
    </row>
    <row r="22" spans="1:11" s="5" customFormat="1" ht="23.25" customHeight="1" x14ac:dyDescent="0.25">
      <c r="A22" s="23">
        <v>12</v>
      </c>
      <c r="B22" s="49" t="s">
        <v>2242</v>
      </c>
      <c r="C22" s="15" t="s">
        <v>39</v>
      </c>
      <c r="D22" s="7" t="s">
        <v>930</v>
      </c>
      <c r="E22" s="14" t="s">
        <v>1037</v>
      </c>
      <c r="F22" s="13" t="s">
        <v>1051</v>
      </c>
      <c r="G22" s="13">
        <v>3.5</v>
      </c>
      <c r="H22" s="10">
        <f>0.224+0.1+0.057+0.292+0.082</f>
        <v>0.755</v>
      </c>
      <c r="I22" s="10">
        <f>0.1+0.057+0.292+0.082</f>
        <v>0.53099999999999992</v>
      </c>
      <c r="J22" s="10">
        <v>0</v>
      </c>
      <c r="K22" s="24">
        <f t="shared" si="0"/>
        <v>0.755</v>
      </c>
    </row>
    <row r="23" spans="1:11" s="5" customFormat="1" ht="33" customHeight="1" x14ac:dyDescent="0.25">
      <c r="A23" s="23">
        <v>13</v>
      </c>
      <c r="B23" s="49" t="s">
        <v>2243</v>
      </c>
      <c r="C23" s="15" t="s">
        <v>38</v>
      </c>
      <c r="D23" s="7" t="s">
        <v>931</v>
      </c>
      <c r="E23" s="14" t="s">
        <v>1037</v>
      </c>
      <c r="F23" s="13" t="s">
        <v>1051</v>
      </c>
      <c r="G23" s="13">
        <v>3</v>
      </c>
      <c r="H23" s="10">
        <v>8.1000000000000003E-2</v>
      </c>
      <c r="I23" s="10">
        <v>8.1000000000000003E-2</v>
      </c>
      <c r="J23" s="10">
        <v>0</v>
      </c>
      <c r="K23" s="24">
        <f t="shared" si="0"/>
        <v>8.1000000000000003E-2</v>
      </c>
    </row>
    <row r="24" spans="1:11" s="5" customFormat="1" ht="31.9" customHeight="1" x14ac:dyDescent="0.25">
      <c r="A24" s="23">
        <v>14</v>
      </c>
      <c r="B24" s="49" t="s">
        <v>2244</v>
      </c>
      <c r="C24" s="15" t="s">
        <v>39</v>
      </c>
      <c r="D24" s="7" t="s">
        <v>932</v>
      </c>
      <c r="E24" s="14" t="s">
        <v>1037</v>
      </c>
      <c r="F24" s="13" t="s">
        <v>1051</v>
      </c>
      <c r="G24" s="13">
        <v>3.5</v>
      </c>
      <c r="H24" s="10">
        <v>0.81200000000000006</v>
      </c>
      <c r="I24" s="10">
        <v>0.81200000000000006</v>
      </c>
      <c r="J24" s="10">
        <v>0</v>
      </c>
      <c r="K24" s="24">
        <f t="shared" si="0"/>
        <v>0.81200000000000006</v>
      </c>
    </row>
    <row r="25" spans="1:11" s="5" customFormat="1" ht="33" customHeight="1" x14ac:dyDescent="0.25">
      <c r="A25" s="23">
        <v>15</v>
      </c>
      <c r="B25" s="49" t="s">
        <v>2245</v>
      </c>
      <c r="C25" s="15" t="s">
        <v>39</v>
      </c>
      <c r="D25" s="7" t="s">
        <v>933</v>
      </c>
      <c r="E25" s="14" t="s">
        <v>1037</v>
      </c>
      <c r="F25" s="13" t="s">
        <v>1051</v>
      </c>
      <c r="G25" s="13">
        <v>3.5</v>
      </c>
      <c r="H25" s="10">
        <v>0.54</v>
      </c>
      <c r="I25" s="10">
        <v>0.54</v>
      </c>
      <c r="J25" s="10">
        <v>0</v>
      </c>
      <c r="K25" s="24">
        <f t="shared" si="0"/>
        <v>0.54</v>
      </c>
    </row>
    <row r="26" spans="1:11" s="5" customFormat="1" ht="34.15" customHeight="1" x14ac:dyDescent="0.25">
      <c r="A26" s="23">
        <v>16</v>
      </c>
      <c r="B26" s="49" t="s">
        <v>2246</v>
      </c>
      <c r="C26" s="15" t="s">
        <v>38</v>
      </c>
      <c r="D26" s="7" t="s">
        <v>934</v>
      </c>
      <c r="E26" s="14" t="s">
        <v>1037</v>
      </c>
      <c r="F26" s="13" t="s">
        <v>1051</v>
      </c>
      <c r="G26" s="13">
        <v>3.5</v>
      </c>
      <c r="H26" s="10">
        <v>0</v>
      </c>
      <c r="I26" s="10">
        <v>0</v>
      </c>
      <c r="J26" s="10">
        <v>0.30299999999999999</v>
      </c>
      <c r="K26" s="24">
        <f t="shared" si="0"/>
        <v>0.30299999999999999</v>
      </c>
    </row>
    <row r="27" spans="1:11" s="5" customFormat="1" ht="27.6" customHeight="1" x14ac:dyDescent="0.25">
      <c r="A27" s="23">
        <v>17</v>
      </c>
      <c r="B27" s="49" t="s">
        <v>2247</v>
      </c>
      <c r="C27" s="15" t="s">
        <v>39</v>
      </c>
      <c r="D27" s="7" t="s">
        <v>935</v>
      </c>
      <c r="E27" s="14" t="s">
        <v>1037</v>
      </c>
      <c r="F27" s="13" t="s">
        <v>1051</v>
      </c>
      <c r="G27" s="13">
        <v>3.5</v>
      </c>
      <c r="H27" s="10">
        <f>0.204+0.462</f>
        <v>0.66600000000000004</v>
      </c>
      <c r="I27" s="10">
        <v>0</v>
      </c>
      <c r="J27" s="10">
        <v>0</v>
      </c>
      <c r="K27" s="24">
        <f t="shared" si="0"/>
        <v>0.66600000000000004</v>
      </c>
    </row>
    <row r="28" spans="1:11" s="5" customFormat="1" ht="26.45" customHeight="1" x14ac:dyDescent="0.25">
      <c r="A28" s="23">
        <v>18</v>
      </c>
      <c r="B28" s="49" t="s">
        <v>2248</v>
      </c>
      <c r="C28" s="15" t="s">
        <v>39</v>
      </c>
      <c r="D28" s="7" t="s">
        <v>936</v>
      </c>
      <c r="E28" s="14" t="s">
        <v>1037</v>
      </c>
      <c r="F28" s="13" t="s">
        <v>1051</v>
      </c>
      <c r="G28" s="13">
        <v>3.5</v>
      </c>
      <c r="H28" s="10">
        <f>0.212+0.385</f>
        <v>0.59699999999999998</v>
      </c>
      <c r="I28" s="10">
        <v>0</v>
      </c>
      <c r="J28" s="10">
        <v>0</v>
      </c>
      <c r="K28" s="24">
        <f t="shared" si="0"/>
        <v>0.59699999999999998</v>
      </c>
    </row>
    <row r="29" spans="1:11" s="5" customFormat="1" ht="30.6" customHeight="1" x14ac:dyDescent="0.25">
      <c r="A29" s="23">
        <v>19</v>
      </c>
      <c r="B29" s="49" t="s">
        <v>2249</v>
      </c>
      <c r="C29" s="15" t="s">
        <v>39</v>
      </c>
      <c r="D29" s="7" t="s">
        <v>937</v>
      </c>
      <c r="E29" s="14" t="s">
        <v>1037</v>
      </c>
      <c r="F29" s="13" t="s">
        <v>1051</v>
      </c>
      <c r="G29" s="13">
        <v>4</v>
      </c>
      <c r="H29" s="10">
        <v>1.383</v>
      </c>
      <c r="I29" s="10">
        <v>1.383</v>
      </c>
      <c r="J29" s="10">
        <v>0.23599999999999999</v>
      </c>
      <c r="K29" s="24">
        <f t="shared" si="0"/>
        <v>1.619</v>
      </c>
    </row>
    <row r="30" spans="1:11" s="5" customFormat="1" ht="30" customHeight="1" x14ac:dyDescent="0.25">
      <c r="A30" s="23">
        <v>20</v>
      </c>
      <c r="B30" s="49" t="s">
        <v>2250</v>
      </c>
      <c r="C30" s="15" t="s">
        <v>39</v>
      </c>
      <c r="D30" s="7" t="s">
        <v>938</v>
      </c>
      <c r="E30" s="14" t="s">
        <v>1037</v>
      </c>
      <c r="F30" s="13" t="s">
        <v>1051</v>
      </c>
      <c r="G30" s="13">
        <v>3.5</v>
      </c>
      <c r="H30" s="10">
        <v>0.505</v>
      </c>
      <c r="I30" s="10">
        <v>0.505</v>
      </c>
      <c r="J30" s="10">
        <f>0.766+0.462+0.15</f>
        <v>1.3779999999999999</v>
      </c>
      <c r="K30" s="24">
        <f t="shared" si="0"/>
        <v>1.883</v>
      </c>
    </row>
    <row r="31" spans="1:11" s="5" customFormat="1" ht="29.45" customHeight="1" x14ac:dyDescent="0.25">
      <c r="A31" s="23">
        <v>21</v>
      </c>
      <c r="B31" s="49" t="s">
        <v>2251</v>
      </c>
      <c r="C31" s="15" t="s">
        <v>976</v>
      </c>
      <c r="D31" s="7" t="s">
        <v>939</v>
      </c>
      <c r="E31" s="14" t="s">
        <v>1037</v>
      </c>
      <c r="F31" s="13" t="s">
        <v>1051</v>
      </c>
      <c r="G31" s="13">
        <v>3.5</v>
      </c>
      <c r="H31" s="10">
        <v>0.2</v>
      </c>
      <c r="I31" s="10">
        <v>0</v>
      </c>
      <c r="J31" s="10">
        <v>0.57999999999999996</v>
      </c>
      <c r="K31" s="24">
        <f t="shared" si="0"/>
        <v>0.78</v>
      </c>
    </row>
    <row r="32" spans="1:11" s="5" customFormat="1" ht="26.45" customHeight="1" x14ac:dyDescent="0.25">
      <c r="A32" s="23">
        <v>22</v>
      </c>
      <c r="B32" s="49" t="s">
        <v>2252</v>
      </c>
      <c r="C32" s="15" t="s">
        <v>39</v>
      </c>
      <c r="D32" s="7" t="s">
        <v>940</v>
      </c>
      <c r="E32" s="14" t="s">
        <v>1037</v>
      </c>
      <c r="F32" s="13" t="s">
        <v>1051</v>
      </c>
      <c r="G32" s="13">
        <v>3.5</v>
      </c>
      <c r="H32" s="10">
        <f>0.356+0.45</f>
        <v>0.80600000000000005</v>
      </c>
      <c r="I32" s="10">
        <v>0.35599999999999998</v>
      </c>
      <c r="J32" s="10">
        <f>0.716</f>
        <v>0.71599999999999997</v>
      </c>
      <c r="K32" s="24">
        <f t="shared" si="0"/>
        <v>1.522</v>
      </c>
    </row>
    <row r="33" spans="1:11" s="5" customFormat="1" ht="30.6" customHeight="1" x14ac:dyDescent="0.25">
      <c r="A33" s="23">
        <v>23</v>
      </c>
      <c r="B33" s="49" t="s">
        <v>2253</v>
      </c>
      <c r="C33" s="15" t="s">
        <v>39</v>
      </c>
      <c r="D33" s="7" t="s">
        <v>941</v>
      </c>
      <c r="E33" s="14" t="s">
        <v>1037</v>
      </c>
      <c r="F33" s="13" t="s">
        <v>1051</v>
      </c>
      <c r="G33" s="13">
        <v>3.5</v>
      </c>
      <c r="H33" s="10">
        <f>0.173+0.194</f>
        <v>0.36699999999999999</v>
      </c>
      <c r="I33" s="10">
        <v>0.36699999999999999</v>
      </c>
      <c r="J33" s="10">
        <v>0.76100000000000001</v>
      </c>
      <c r="K33" s="24">
        <f t="shared" si="0"/>
        <v>1.1280000000000001</v>
      </c>
    </row>
    <row r="34" spans="1:11" s="5" customFormat="1" ht="31.9" customHeight="1" x14ac:dyDescent="0.25">
      <c r="A34" s="23">
        <v>24</v>
      </c>
      <c r="B34" s="49" t="s">
        <v>2254</v>
      </c>
      <c r="C34" s="15" t="s">
        <v>38</v>
      </c>
      <c r="D34" s="7" t="s">
        <v>942</v>
      </c>
      <c r="E34" s="14" t="s">
        <v>1037</v>
      </c>
      <c r="F34" s="13" t="s">
        <v>1051</v>
      </c>
      <c r="G34" s="13">
        <v>4</v>
      </c>
      <c r="H34" s="10">
        <v>0.71499999999999997</v>
      </c>
      <c r="I34" s="10">
        <v>0.71499999999999997</v>
      </c>
      <c r="J34" s="10">
        <v>0.42</v>
      </c>
      <c r="K34" s="24">
        <f t="shared" si="0"/>
        <v>1.135</v>
      </c>
    </row>
    <row r="35" spans="1:11" s="5" customFormat="1" ht="32.450000000000003" customHeight="1" x14ac:dyDescent="0.25">
      <c r="A35" s="23">
        <v>25</v>
      </c>
      <c r="B35" s="49" t="s">
        <v>2255</v>
      </c>
      <c r="C35" s="15" t="s">
        <v>38</v>
      </c>
      <c r="D35" s="7" t="s">
        <v>943</v>
      </c>
      <c r="E35" s="14" t="s">
        <v>1037</v>
      </c>
      <c r="F35" s="13" t="s">
        <v>1051</v>
      </c>
      <c r="G35" s="13">
        <v>4</v>
      </c>
      <c r="H35" s="10">
        <v>1.083</v>
      </c>
      <c r="I35" s="10">
        <v>1.083</v>
      </c>
      <c r="J35" s="10">
        <v>0</v>
      </c>
      <c r="K35" s="24">
        <f t="shared" si="0"/>
        <v>1.083</v>
      </c>
    </row>
    <row r="36" spans="1:11" s="5" customFormat="1" ht="32.450000000000003" customHeight="1" x14ac:dyDescent="0.25">
      <c r="A36" s="23">
        <v>26</v>
      </c>
      <c r="B36" s="49" t="s">
        <v>2256</v>
      </c>
      <c r="C36" s="15" t="s">
        <v>38</v>
      </c>
      <c r="D36" s="7" t="s">
        <v>944</v>
      </c>
      <c r="E36" s="14" t="s">
        <v>1037</v>
      </c>
      <c r="F36" s="13" t="s">
        <v>1051</v>
      </c>
      <c r="G36" s="13">
        <v>3.5</v>
      </c>
      <c r="H36" s="10">
        <v>2.2679999999999998</v>
      </c>
      <c r="I36" s="10">
        <v>0</v>
      </c>
      <c r="J36" s="10">
        <v>0</v>
      </c>
      <c r="K36" s="24">
        <f t="shared" si="0"/>
        <v>2.2679999999999998</v>
      </c>
    </row>
    <row r="37" spans="1:11" s="5" customFormat="1" ht="28.15" customHeight="1" x14ac:dyDescent="0.25">
      <c r="A37" s="23">
        <v>27</v>
      </c>
      <c r="B37" s="49" t="s">
        <v>2257</v>
      </c>
      <c r="C37" s="15" t="s">
        <v>38</v>
      </c>
      <c r="D37" s="7" t="s">
        <v>945</v>
      </c>
      <c r="E37" s="14" t="s">
        <v>1037</v>
      </c>
      <c r="F37" s="13" t="s">
        <v>1051</v>
      </c>
      <c r="G37" s="13">
        <v>3.5</v>
      </c>
      <c r="H37" s="10">
        <v>0.79200000000000004</v>
      </c>
      <c r="I37" s="10">
        <v>0</v>
      </c>
      <c r="J37" s="10">
        <v>0</v>
      </c>
      <c r="K37" s="24">
        <f t="shared" si="0"/>
        <v>0.79200000000000004</v>
      </c>
    </row>
    <row r="38" spans="1:11" s="5" customFormat="1" ht="31.9" customHeight="1" x14ac:dyDescent="0.25">
      <c r="A38" s="23">
        <v>28</v>
      </c>
      <c r="B38" s="49" t="s">
        <v>2258</v>
      </c>
      <c r="C38" s="15" t="s">
        <v>38</v>
      </c>
      <c r="D38" s="7" t="s">
        <v>946</v>
      </c>
      <c r="E38" s="14" t="s">
        <v>1037</v>
      </c>
      <c r="F38" s="13" t="s">
        <v>1051</v>
      </c>
      <c r="G38" s="13">
        <v>3.5</v>
      </c>
      <c r="H38" s="10">
        <v>0</v>
      </c>
      <c r="I38" s="10">
        <v>0</v>
      </c>
      <c r="J38" s="10">
        <v>0.71499999999999997</v>
      </c>
      <c r="K38" s="24">
        <f t="shared" si="0"/>
        <v>0.71499999999999997</v>
      </c>
    </row>
    <row r="39" spans="1:11" s="5" customFormat="1" ht="40.15" customHeight="1" x14ac:dyDescent="0.25">
      <c r="A39" s="23">
        <v>29</v>
      </c>
      <c r="B39" s="49" t="s">
        <v>2259</v>
      </c>
      <c r="C39" s="15" t="s">
        <v>38</v>
      </c>
      <c r="D39" s="7" t="s">
        <v>947</v>
      </c>
      <c r="E39" s="14" t="s">
        <v>1037</v>
      </c>
      <c r="F39" s="13" t="s">
        <v>1051</v>
      </c>
      <c r="G39" s="13">
        <v>3.5</v>
      </c>
      <c r="H39" s="10">
        <v>4.7329999999999997</v>
      </c>
      <c r="I39" s="10">
        <v>0</v>
      </c>
      <c r="J39" s="10">
        <v>0</v>
      </c>
      <c r="K39" s="24">
        <f t="shared" si="0"/>
        <v>4.7329999999999997</v>
      </c>
    </row>
    <row r="40" spans="1:11" s="5" customFormat="1" ht="26.45" customHeight="1" x14ac:dyDescent="0.25">
      <c r="A40" s="23">
        <v>30</v>
      </c>
      <c r="B40" s="49" t="s">
        <v>2260</v>
      </c>
      <c r="C40" s="15" t="s">
        <v>38</v>
      </c>
      <c r="D40" s="7" t="s">
        <v>948</v>
      </c>
      <c r="E40" s="14" t="s">
        <v>1037</v>
      </c>
      <c r="F40" s="13" t="s">
        <v>1051</v>
      </c>
      <c r="G40" s="13">
        <v>3.5</v>
      </c>
      <c r="H40" s="10">
        <v>0</v>
      </c>
      <c r="I40" s="10">
        <v>0</v>
      </c>
      <c r="J40" s="10">
        <v>0.98399999999999999</v>
      </c>
      <c r="K40" s="24">
        <f t="shared" si="0"/>
        <v>0.98399999999999999</v>
      </c>
    </row>
    <row r="41" spans="1:11" s="5" customFormat="1" ht="30.6" customHeight="1" x14ac:dyDescent="0.25">
      <c r="A41" s="23">
        <v>31</v>
      </c>
      <c r="B41" s="49" t="s">
        <v>2261</v>
      </c>
      <c r="C41" s="15" t="s">
        <v>38</v>
      </c>
      <c r="D41" s="7" t="s">
        <v>949</v>
      </c>
      <c r="E41" s="14" t="s">
        <v>1037</v>
      </c>
      <c r="F41" s="13" t="s">
        <v>1051</v>
      </c>
      <c r="G41" s="13">
        <v>3.5</v>
      </c>
      <c r="H41" s="10">
        <v>3.6389999999999998</v>
      </c>
      <c r="I41" s="10">
        <v>0</v>
      </c>
      <c r="J41" s="10">
        <v>0</v>
      </c>
      <c r="K41" s="24">
        <f t="shared" si="0"/>
        <v>3.6389999999999998</v>
      </c>
    </row>
    <row r="42" spans="1:11" s="5" customFormat="1" ht="28.9" customHeight="1" x14ac:dyDescent="0.25">
      <c r="A42" s="23">
        <v>32</v>
      </c>
      <c r="B42" s="49" t="s">
        <v>2262</v>
      </c>
      <c r="C42" s="15" t="s">
        <v>38</v>
      </c>
      <c r="D42" s="7" t="s">
        <v>950</v>
      </c>
      <c r="E42" s="14" t="s">
        <v>1037</v>
      </c>
      <c r="F42" s="13" t="s">
        <v>1051</v>
      </c>
      <c r="G42" s="13">
        <v>3.5</v>
      </c>
      <c r="H42" s="10">
        <v>0</v>
      </c>
      <c r="I42" s="10">
        <v>0</v>
      </c>
      <c r="J42" s="10">
        <v>2.4660000000000002</v>
      </c>
      <c r="K42" s="24">
        <f t="shared" si="0"/>
        <v>2.4660000000000002</v>
      </c>
    </row>
    <row r="43" spans="1:11" s="5" customFormat="1" ht="28.15" customHeight="1" x14ac:dyDescent="0.25">
      <c r="A43" s="23">
        <v>33</v>
      </c>
      <c r="B43" s="49" t="s">
        <v>2263</v>
      </c>
      <c r="C43" s="15" t="s">
        <v>38</v>
      </c>
      <c r="D43" s="7" t="s">
        <v>951</v>
      </c>
      <c r="E43" s="14" t="s">
        <v>1037</v>
      </c>
      <c r="F43" s="13" t="s">
        <v>1051</v>
      </c>
      <c r="G43" s="13">
        <v>3.5</v>
      </c>
      <c r="H43" s="10">
        <v>0</v>
      </c>
      <c r="I43" s="10">
        <v>0</v>
      </c>
      <c r="J43" s="10">
        <v>4.8579999999999997</v>
      </c>
      <c r="K43" s="24">
        <f t="shared" si="0"/>
        <v>4.8579999999999997</v>
      </c>
    </row>
    <row r="44" spans="1:11" s="5" customFormat="1" ht="33" customHeight="1" x14ac:dyDescent="0.25">
      <c r="A44" s="23">
        <v>34</v>
      </c>
      <c r="B44" s="49" t="s">
        <v>2264</v>
      </c>
      <c r="C44" s="15" t="s">
        <v>38</v>
      </c>
      <c r="D44" s="7" t="s">
        <v>952</v>
      </c>
      <c r="E44" s="14" t="s">
        <v>1037</v>
      </c>
      <c r="F44" s="13" t="s">
        <v>1051</v>
      </c>
      <c r="G44" s="13">
        <v>3.5</v>
      </c>
      <c r="H44" s="10">
        <v>0</v>
      </c>
      <c r="I44" s="10">
        <v>0</v>
      </c>
      <c r="J44" s="10">
        <v>3.8340000000000001</v>
      </c>
      <c r="K44" s="24">
        <f t="shared" si="0"/>
        <v>3.8340000000000001</v>
      </c>
    </row>
    <row r="45" spans="1:11" s="5" customFormat="1" ht="31.15" customHeight="1" x14ac:dyDescent="0.25">
      <c r="A45" s="23">
        <v>35</v>
      </c>
      <c r="B45" s="49" t="s">
        <v>2265</v>
      </c>
      <c r="C45" s="15" t="s">
        <v>38</v>
      </c>
      <c r="D45" s="7" t="s">
        <v>953</v>
      </c>
      <c r="E45" s="14" t="s">
        <v>1037</v>
      </c>
      <c r="F45" s="13" t="s">
        <v>1051</v>
      </c>
      <c r="G45" s="13">
        <v>3.5</v>
      </c>
      <c r="H45" s="10">
        <v>0</v>
      </c>
      <c r="I45" s="10">
        <v>0</v>
      </c>
      <c r="J45" s="10">
        <v>2.4790000000000001</v>
      </c>
      <c r="K45" s="24">
        <f t="shared" si="0"/>
        <v>2.4790000000000001</v>
      </c>
    </row>
    <row r="46" spans="1:11" s="5" customFormat="1" ht="35.450000000000003" customHeight="1" x14ac:dyDescent="0.25">
      <c r="A46" s="23">
        <v>36</v>
      </c>
      <c r="B46" s="49" t="s">
        <v>2266</v>
      </c>
      <c r="C46" s="15" t="s">
        <v>38</v>
      </c>
      <c r="D46" s="7" t="s">
        <v>954</v>
      </c>
      <c r="E46" s="14" t="s">
        <v>1037</v>
      </c>
      <c r="F46" s="13" t="s">
        <v>1051</v>
      </c>
      <c r="G46" s="13">
        <v>3.5</v>
      </c>
      <c r="H46" s="10">
        <v>0</v>
      </c>
      <c r="I46" s="10">
        <v>0</v>
      </c>
      <c r="J46" s="10">
        <v>0.54</v>
      </c>
      <c r="K46" s="24">
        <f t="shared" si="0"/>
        <v>0.54</v>
      </c>
    </row>
    <row r="47" spans="1:11" s="5" customFormat="1" ht="36.6" customHeight="1" x14ac:dyDescent="0.25">
      <c r="A47" s="23">
        <v>37</v>
      </c>
      <c r="B47" s="49" t="s">
        <v>2267</v>
      </c>
      <c r="C47" s="15" t="s">
        <v>38</v>
      </c>
      <c r="D47" s="7" t="s">
        <v>955</v>
      </c>
      <c r="E47" s="14" t="s">
        <v>1037</v>
      </c>
      <c r="F47" s="13" t="s">
        <v>1051</v>
      </c>
      <c r="G47" s="13">
        <v>3.5</v>
      </c>
      <c r="H47" s="10">
        <v>0</v>
      </c>
      <c r="I47" s="10">
        <v>0</v>
      </c>
      <c r="J47" s="10">
        <v>8.25</v>
      </c>
      <c r="K47" s="24">
        <f t="shared" si="0"/>
        <v>8.25</v>
      </c>
    </row>
    <row r="48" spans="1:11" s="5" customFormat="1" ht="46.15" customHeight="1" x14ac:dyDescent="0.25">
      <c r="A48" s="23">
        <v>38</v>
      </c>
      <c r="B48" s="49" t="s">
        <v>2268</v>
      </c>
      <c r="C48" s="15" t="s">
        <v>38</v>
      </c>
      <c r="D48" s="7" t="s">
        <v>956</v>
      </c>
      <c r="E48" s="14" t="s">
        <v>1037</v>
      </c>
      <c r="F48" s="13" t="s">
        <v>1051</v>
      </c>
      <c r="G48" s="13">
        <v>4</v>
      </c>
      <c r="H48" s="10">
        <v>0</v>
      </c>
      <c r="I48" s="10">
        <v>0</v>
      </c>
      <c r="J48" s="10">
        <v>1.085</v>
      </c>
      <c r="K48" s="24">
        <f t="shared" si="0"/>
        <v>1.085</v>
      </c>
    </row>
  </sheetData>
  <sheetProtection insertRows="0" deleteRows="0" sort="0"/>
  <mergeCells count="9">
    <mergeCell ref="C1:I1"/>
    <mergeCell ref="G7:G8"/>
    <mergeCell ref="K7:K8"/>
    <mergeCell ref="F7:F8"/>
    <mergeCell ref="A7:A8"/>
    <mergeCell ref="B7:B8"/>
    <mergeCell ref="C7:C8"/>
    <mergeCell ref="D7:D8"/>
    <mergeCell ref="E7:E8"/>
  </mergeCells>
  <conditionalFormatting sqref="K11:K48">
    <cfRule type="expression" dxfId="20" priority="2">
      <formula>$H11+$J11&lt;&gt;$K11</formula>
    </cfRule>
  </conditionalFormatting>
  <conditionalFormatting sqref="H10:K10">
    <cfRule type="expression" dxfId="19" priority="232">
      <formula>H$10&lt;&gt;SUM(H$11:H$219)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zoomScaleSheetLayoutView="80" workbookViewId="0">
      <selection activeCell="J80" sqref="J80"/>
    </sheetView>
  </sheetViews>
  <sheetFormatPr defaultColWidth="9.140625" defaultRowHeight="15" x14ac:dyDescent="0.25"/>
  <cols>
    <col min="1" max="1" width="7.140625" style="80" customWidth="1"/>
    <col min="2" max="2" width="23.85546875" style="80" customWidth="1"/>
    <col min="3" max="3" width="14.85546875" style="80" customWidth="1"/>
    <col min="4" max="4" width="34.140625" style="80" customWidth="1"/>
    <col min="5" max="5" width="21.28515625" style="80" customWidth="1"/>
    <col min="6" max="7" width="10.42578125" style="80" customWidth="1"/>
    <col min="8" max="8" width="10.85546875" style="80" customWidth="1"/>
    <col min="9" max="9" width="15.5703125" style="80" customWidth="1"/>
    <col min="10" max="10" width="11.85546875" style="80" customWidth="1"/>
    <col min="11" max="11" width="14" style="80" customWidth="1"/>
    <col min="12" max="16384" width="9.140625" style="80"/>
  </cols>
  <sheetData>
    <row r="1" spans="1:11" s="4" customFormat="1" ht="28.9" customHeight="1" x14ac:dyDescent="0.25">
      <c r="B1" s="5"/>
      <c r="C1" s="180" t="s">
        <v>3251</v>
      </c>
      <c r="D1" s="180"/>
      <c r="E1" s="180"/>
      <c r="F1" s="180"/>
      <c r="G1" s="180"/>
      <c r="H1" s="180"/>
      <c r="I1" s="180"/>
      <c r="J1" s="5"/>
    </row>
    <row r="2" spans="1:11" s="4" customFormat="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s="4" customFormat="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s="4" customFormat="1" x14ac:dyDescent="0.25">
      <c r="C4" s="152"/>
      <c r="D4" s="152"/>
      <c r="E4" s="152"/>
      <c r="F4" s="152"/>
      <c r="G4" s="152"/>
      <c r="H4" s="152"/>
      <c r="I4" s="152"/>
      <c r="K4" s="153" t="s">
        <v>3252</v>
      </c>
    </row>
    <row r="5" spans="1:11" s="4" customFormat="1" x14ac:dyDescent="0.25">
      <c r="K5" s="153" t="s">
        <v>3253</v>
      </c>
    </row>
    <row r="7" spans="1:11" s="74" customFormat="1" ht="41.25" customHeight="1" x14ac:dyDescent="0.25">
      <c r="A7" s="171" t="s">
        <v>15</v>
      </c>
      <c r="B7" s="171" t="s">
        <v>0</v>
      </c>
      <c r="C7" s="171" t="s">
        <v>13</v>
      </c>
      <c r="D7" s="171" t="s">
        <v>1</v>
      </c>
      <c r="E7" s="171" t="s">
        <v>6</v>
      </c>
      <c r="F7" s="171" t="s">
        <v>14</v>
      </c>
      <c r="G7" s="171" t="s">
        <v>958</v>
      </c>
      <c r="H7" s="53"/>
      <c r="I7" s="44" t="s">
        <v>16</v>
      </c>
      <c r="J7" s="139"/>
      <c r="K7" s="171" t="s">
        <v>1029</v>
      </c>
    </row>
    <row r="8" spans="1:11" s="74" customFormat="1" ht="60" customHeight="1" x14ac:dyDescent="0.25">
      <c r="A8" s="172"/>
      <c r="B8" s="172"/>
      <c r="C8" s="172"/>
      <c r="D8" s="172"/>
      <c r="E8" s="172"/>
      <c r="F8" s="172"/>
      <c r="G8" s="171"/>
      <c r="H8" s="138" t="s">
        <v>3</v>
      </c>
      <c r="I8" s="138" t="s">
        <v>24</v>
      </c>
      <c r="J8" s="140" t="s">
        <v>4</v>
      </c>
      <c r="K8" s="172"/>
    </row>
    <row r="9" spans="1:11" s="74" customFormat="1" ht="21.75" customHeight="1" x14ac:dyDescent="0.25">
      <c r="A9" s="131">
        <v>1</v>
      </c>
      <c r="B9" s="131">
        <v>2</v>
      </c>
      <c r="C9" s="131">
        <v>3</v>
      </c>
      <c r="D9" s="131">
        <v>4</v>
      </c>
      <c r="E9" s="131">
        <v>5</v>
      </c>
      <c r="F9" s="132">
        <v>6</v>
      </c>
      <c r="G9" s="132">
        <v>7</v>
      </c>
      <c r="H9" s="132">
        <v>8</v>
      </c>
      <c r="I9" s="131">
        <v>9</v>
      </c>
      <c r="J9" s="131">
        <v>10</v>
      </c>
      <c r="K9" s="140">
        <v>11</v>
      </c>
    </row>
    <row r="10" spans="1:11" s="74" customFormat="1" ht="29.25" customHeight="1" x14ac:dyDescent="0.25">
      <c r="A10" s="133" t="s">
        <v>2</v>
      </c>
      <c r="B10" s="134"/>
      <c r="C10" s="134"/>
      <c r="D10" s="134"/>
      <c r="E10" s="134"/>
      <c r="F10" s="135"/>
      <c r="G10" s="135"/>
      <c r="H10" s="36">
        <f>SUM(H11:H153)</f>
        <v>55.783999999999999</v>
      </c>
      <c r="I10" s="36">
        <f>SUM(I11:I153)</f>
        <v>29.246000000000006</v>
      </c>
      <c r="J10" s="36">
        <f>SUM(J11:J153)</f>
        <v>45.965000000000003</v>
      </c>
      <c r="K10" s="36">
        <f>SUM(K11:K153)</f>
        <v>101.74899999999998</v>
      </c>
    </row>
    <row r="11" spans="1:11" s="74" customFormat="1" ht="29.25" customHeight="1" x14ac:dyDescent="0.25">
      <c r="A11" s="140">
        <v>1</v>
      </c>
      <c r="B11" s="49" t="s">
        <v>2269</v>
      </c>
      <c r="C11" s="15" t="s">
        <v>39</v>
      </c>
      <c r="D11" s="7" t="s">
        <v>744</v>
      </c>
      <c r="E11" s="14" t="s">
        <v>1038</v>
      </c>
      <c r="F11" s="13" t="s">
        <v>1114</v>
      </c>
      <c r="G11" s="13">
        <v>6</v>
      </c>
      <c r="H11" s="10">
        <v>3.0259999999999998</v>
      </c>
      <c r="I11" s="10">
        <v>3.0259999999999998</v>
      </c>
      <c r="J11" s="10">
        <v>0</v>
      </c>
      <c r="K11" s="36">
        <f>SUM(J11,H11)</f>
        <v>3.0259999999999998</v>
      </c>
    </row>
    <row r="12" spans="1:11" s="74" customFormat="1" ht="32.450000000000003" customHeight="1" x14ac:dyDescent="0.25">
      <c r="A12" s="140">
        <v>2</v>
      </c>
      <c r="B12" s="49" t="s">
        <v>2270</v>
      </c>
      <c r="C12" s="15" t="s">
        <v>39</v>
      </c>
      <c r="D12" s="7" t="s">
        <v>745</v>
      </c>
      <c r="E12" s="14" t="s">
        <v>1038</v>
      </c>
      <c r="F12" s="13" t="s">
        <v>1051</v>
      </c>
      <c r="G12" s="13">
        <v>4</v>
      </c>
      <c r="H12" s="10">
        <f>0.653+0.8</f>
        <v>1.4530000000000001</v>
      </c>
      <c r="I12" s="10">
        <v>0</v>
      </c>
      <c r="J12" s="10">
        <f>1.675</f>
        <v>1.675</v>
      </c>
      <c r="K12" s="36">
        <f t="shared" ref="K12:K74" si="0">SUM(J12,H12)</f>
        <v>3.1280000000000001</v>
      </c>
    </row>
    <row r="13" spans="1:11" s="74" customFormat="1" ht="34.15" customHeight="1" x14ac:dyDescent="0.25">
      <c r="A13" s="140">
        <v>3</v>
      </c>
      <c r="B13" s="49" t="s">
        <v>2271</v>
      </c>
      <c r="C13" s="15" t="s">
        <v>39</v>
      </c>
      <c r="D13" s="7" t="s">
        <v>746</v>
      </c>
      <c r="E13" s="14" t="s">
        <v>1038</v>
      </c>
      <c r="F13" s="13" t="s">
        <v>1051</v>
      </c>
      <c r="G13" s="13">
        <v>4</v>
      </c>
      <c r="H13" s="10">
        <f>1.013+0.099</f>
        <v>1.1119999999999999</v>
      </c>
      <c r="I13" s="10">
        <f>1.013+0.099</f>
        <v>1.1119999999999999</v>
      </c>
      <c r="J13" s="10">
        <f>0.927+0.051</f>
        <v>0.97800000000000009</v>
      </c>
      <c r="K13" s="36">
        <f t="shared" si="0"/>
        <v>2.09</v>
      </c>
    </row>
    <row r="14" spans="1:11" s="74" customFormat="1" ht="36" customHeight="1" x14ac:dyDescent="0.25">
      <c r="A14" s="140">
        <v>4</v>
      </c>
      <c r="B14" s="49" t="s">
        <v>2272</v>
      </c>
      <c r="C14" s="15" t="s">
        <v>38</v>
      </c>
      <c r="D14" s="7" t="s">
        <v>747</v>
      </c>
      <c r="E14" s="14" t="s">
        <v>1038</v>
      </c>
      <c r="F14" s="13" t="s">
        <v>1051</v>
      </c>
      <c r="G14" s="13">
        <v>3.5</v>
      </c>
      <c r="H14" s="10">
        <v>0</v>
      </c>
      <c r="I14" s="10">
        <v>0</v>
      </c>
      <c r="J14" s="10">
        <v>0.59799999999999998</v>
      </c>
      <c r="K14" s="36">
        <f t="shared" si="0"/>
        <v>0.59799999999999998</v>
      </c>
    </row>
    <row r="15" spans="1:11" s="74" customFormat="1" ht="37.15" customHeight="1" x14ac:dyDescent="0.25">
      <c r="A15" s="140">
        <v>5</v>
      </c>
      <c r="B15" s="49" t="s">
        <v>2273</v>
      </c>
      <c r="C15" s="15" t="s">
        <v>38</v>
      </c>
      <c r="D15" s="7" t="s">
        <v>748</v>
      </c>
      <c r="E15" s="14" t="s">
        <v>1038</v>
      </c>
      <c r="F15" s="13" t="s">
        <v>1051</v>
      </c>
      <c r="G15" s="13">
        <v>3.5</v>
      </c>
      <c r="H15" s="10">
        <v>0</v>
      </c>
      <c r="I15" s="10">
        <v>0</v>
      </c>
      <c r="J15" s="10">
        <v>0.33700000000000002</v>
      </c>
      <c r="K15" s="36">
        <f t="shared" si="0"/>
        <v>0.33700000000000002</v>
      </c>
    </row>
    <row r="16" spans="1:11" s="74" customFormat="1" ht="36" customHeight="1" x14ac:dyDescent="0.25">
      <c r="A16" s="140">
        <v>6</v>
      </c>
      <c r="B16" s="49" t="s">
        <v>2274</v>
      </c>
      <c r="C16" s="15" t="s">
        <v>38</v>
      </c>
      <c r="D16" s="7" t="s">
        <v>749</v>
      </c>
      <c r="E16" s="14" t="s">
        <v>1038</v>
      </c>
      <c r="F16" s="13" t="s">
        <v>1051</v>
      </c>
      <c r="G16" s="13">
        <v>3.5</v>
      </c>
      <c r="H16" s="10">
        <v>0</v>
      </c>
      <c r="I16" s="10">
        <v>0</v>
      </c>
      <c r="J16" s="10">
        <v>0.76600000000000001</v>
      </c>
      <c r="K16" s="36">
        <f t="shared" si="0"/>
        <v>0.76600000000000001</v>
      </c>
    </row>
    <row r="17" spans="1:11" s="74" customFormat="1" ht="37.15" customHeight="1" x14ac:dyDescent="0.25">
      <c r="A17" s="140">
        <v>7</v>
      </c>
      <c r="B17" s="49" t="s">
        <v>2275</v>
      </c>
      <c r="C17" s="15" t="s">
        <v>38</v>
      </c>
      <c r="D17" s="7" t="s">
        <v>750</v>
      </c>
      <c r="E17" s="14" t="s">
        <v>1038</v>
      </c>
      <c r="F17" s="13" t="s">
        <v>1051</v>
      </c>
      <c r="G17" s="13">
        <v>3.5</v>
      </c>
      <c r="H17" s="10">
        <v>0</v>
      </c>
      <c r="I17" s="10">
        <v>0</v>
      </c>
      <c r="J17" s="10">
        <v>1.274</v>
      </c>
      <c r="K17" s="36">
        <f t="shared" si="0"/>
        <v>1.274</v>
      </c>
    </row>
    <row r="18" spans="1:11" s="74" customFormat="1" ht="29.45" customHeight="1" x14ac:dyDescent="0.25">
      <c r="A18" s="140">
        <v>8</v>
      </c>
      <c r="B18" s="49" t="s">
        <v>2276</v>
      </c>
      <c r="C18" s="15" t="s">
        <v>39</v>
      </c>
      <c r="D18" s="7" t="s">
        <v>751</v>
      </c>
      <c r="E18" s="14" t="s">
        <v>1038</v>
      </c>
      <c r="F18" s="13" t="s">
        <v>1051</v>
      </c>
      <c r="G18" s="13">
        <v>4</v>
      </c>
      <c r="H18" s="10">
        <f>1.283+0.537</f>
        <v>1.8199999999999998</v>
      </c>
      <c r="I18" s="10">
        <v>1.2829999999999999</v>
      </c>
      <c r="J18" s="10">
        <f>1.065</f>
        <v>1.0649999999999999</v>
      </c>
      <c r="K18" s="36">
        <f t="shared" si="0"/>
        <v>2.8849999999999998</v>
      </c>
    </row>
    <row r="19" spans="1:11" s="74" customFormat="1" ht="37.15" customHeight="1" x14ac:dyDescent="0.25">
      <c r="A19" s="140">
        <v>9</v>
      </c>
      <c r="B19" s="49" t="s">
        <v>2277</v>
      </c>
      <c r="C19" s="15" t="s">
        <v>38</v>
      </c>
      <c r="D19" s="7" t="s">
        <v>752</v>
      </c>
      <c r="E19" s="14" t="s">
        <v>1038</v>
      </c>
      <c r="F19" s="13" t="s">
        <v>1051</v>
      </c>
      <c r="G19" s="13">
        <v>4</v>
      </c>
      <c r="H19" s="10">
        <v>0.5</v>
      </c>
      <c r="I19" s="10">
        <v>0.5</v>
      </c>
      <c r="J19" s="10">
        <v>0</v>
      </c>
      <c r="K19" s="36">
        <f t="shared" si="0"/>
        <v>0.5</v>
      </c>
    </row>
    <row r="20" spans="1:11" s="74" customFormat="1" ht="33" customHeight="1" x14ac:dyDescent="0.25">
      <c r="A20" s="140">
        <v>10</v>
      </c>
      <c r="B20" s="49" t="s">
        <v>2278</v>
      </c>
      <c r="C20" s="15" t="s">
        <v>38</v>
      </c>
      <c r="D20" s="7" t="s">
        <v>753</v>
      </c>
      <c r="E20" s="14" t="s">
        <v>1038</v>
      </c>
      <c r="F20" s="13" t="s">
        <v>1051</v>
      </c>
      <c r="G20" s="13">
        <v>3.5</v>
      </c>
      <c r="H20" s="10">
        <v>0</v>
      </c>
      <c r="I20" s="10">
        <v>0</v>
      </c>
      <c r="J20" s="10">
        <v>2.093</v>
      </c>
      <c r="K20" s="36">
        <f t="shared" si="0"/>
        <v>2.093</v>
      </c>
    </row>
    <row r="21" spans="1:11" s="74" customFormat="1" ht="31.9" customHeight="1" x14ac:dyDescent="0.25">
      <c r="A21" s="140">
        <v>11</v>
      </c>
      <c r="B21" s="49" t="s">
        <v>2279</v>
      </c>
      <c r="C21" s="15" t="s">
        <v>39</v>
      </c>
      <c r="D21" s="7" t="s">
        <v>754</v>
      </c>
      <c r="E21" s="14" t="s">
        <v>1038</v>
      </c>
      <c r="F21" s="13" t="s">
        <v>1051</v>
      </c>
      <c r="G21" s="13">
        <v>3.5</v>
      </c>
      <c r="H21" s="10">
        <v>0.57099999999999995</v>
      </c>
      <c r="I21" s="10">
        <v>0</v>
      </c>
      <c r="J21" s="10">
        <v>0</v>
      </c>
      <c r="K21" s="36">
        <f t="shared" si="0"/>
        <v>0.57099999999999995</v>
      </c>
    </row>
    <row r="22" spans="1:11" s="74" customFormat="1" ht="23.25" customHeight="1" x14ac:dyDescent="0.25">
      <c r="A22" s="140">
        <v>12</v>
      </c>
      <c r="B22" s="49" t="s">
        <v>2280</v>
      </c>
      <c r="C22" s="15" t="s">
        <v>39</v>
      </c>
      <c r="D22" s="7" t="s">
        <v>755</v>
      </c>
      <c r="E22" s="14" t="s">
        <v>1038</v>
      </c>
      <c r="F22" s="13" t="s">
        <v>1051</v>
      </c>
      <c r="G22" s="13">
        <v>3.5</v>
      </c>
      <c r="H22" s="10">
        <f>0.47+0.161</f>
        <v>0.63100000000000001</v>
      </c>
      <c r="I22" s="10">
        <v>0</v>
      </c>
      <c r="J22" s="10">
        <v>0</v>
      </c>
      <c r="K22" s="36">
        <f t="shared" si="0"/>
        <v>0.63100000000000001</v>
      </c>
    </row>
    <row r="23" spans="1:11" s="74" customFormat="1" ht="33.6" customHeight="1" x14ac:dyDescent="0.25">
      <c r="A23" s="140">
        <v>13</v>
      </c>
      <c r="B23" s="49" t="s">
        <v>2281</v>
      </c>
      <c r="C23" s="15" t="s">
        <v>38</v>
      </c>
      <c r="D23" s="7" t="s">
        <v>756</v>
      </c>
      <c r="E23" s="14" t="s">
        <v>1038</v>
      </c>
      <c r="F23" s="13" t="s">
        <v>1051</v>
      </c>
      <c r="G23" s="13">
        <v>3.5</v>
      </c>
      <c r="H23" s="10">
        <v>0</v>
      </c>
      <c r="I23" s="10">
        <v>0</v>
      </c>
      <c r="J23" s="10">
        <v>0.46</v>
      </c>
      <c r="K23" s="36">
        <f t="shared" si="0"/>
        <v>0.46</v>
      </c>
    </row>
    <row r="24" spans="1:11" s="74" customFormat="1" ht="32.450000000000003" customHeight="1" x14ac:dyDescent="0.25">
      <c r="A24" s="140">
        <v>14</v>
      </c>
      <c r="B24" s="49" t="s">
        <v>2282</v>
      </c>
      <c r="C24" s="15" t="s">
        <v>38</v>
      </c>
      <c r="D24" s="7" t="s">
        <v>757</v>
      </c>
      <c r="E24" s="14" t="s">
        <v>1038</v>
      </c>
      <c r="F24" s="13" t="s">
        <v>1051</v>
      </c>
      <c r="G24" s="13">
        <v>3.5</v>
      </c>
      <c r="H24" s="10">
        <v>0</v>
      </c>
      <c r="I24" s="10">
        <v>0</v>
      </c>
      <c r="J24" s="10">
        <v>0.52400000000000002</v>
      </c>
      <c r="K24" s="36">
        <f t="shared" si="0"/>
        <v>0.52400000000000002</v>
      </c>
    </row>
    <row r="25" spans="1:11" s="74" customFormat="1" ht="31.9" customHeight="1" x14ac:dyDescent="0.25">
      <c r="A25" s="140">
        <v>15</v>
      </c>
      <c r="B25" s="49" t="s">
        <v>2283</v>
      </c>
      <c r="C25" s="15" t="s">
        <v>39</v>
      </c>
      <c r="D25" s="7" t="s">
        <v>758</v>
      </c>
      <c r="E25" s="14" t="s">
        <v>1038</v>
      </c>
      <c r="F25" s="13" t="s">
        <v>1051</v>
      </c>
      <c r="G25" s="13">
        <v>4</v>
      </c>
      <c r="H25" s="10">
        <v>0.85799999999999998</v>
      </c>
      <c r="I25" s="10">
        <v>0.85799999999999998</v>
      </c>
      <c r="J25" s="10">
        <v>0</v>
      </c>
      <c r="K25" s="36">
        <f t="shared" si="0"/>
        <v>0.85799999999999998</v>
      </c>
    </row>
    <row r="26" spans="1:11" s="74" customFormat="1" ht="30.6" customHeight="1" x14ac:dyDescent="0.25">
      <c r="A26" s="140">
        <v>16</v>
      </c>
      <c r="B26" s="49" t="s">
        <v>2284</v>
      </c>
      <c r="C26" s="15" t="s">
        <v>39</v>
      </c>
      <c r="D26" s="7" t="s">
        <v>759</v>
      </c>
      <c r="E26" s="14" t="s">
        <v>1038</v>
      </c>
      <c r="F26" s="13" t="s">
        <v>1051</v>
      </c>
      <c r="G26" s="13">
        <v>4</v>
      </c>
      <c r="H26" s="10">
        <v>0.81200000000000006</v>
      </c>
      <c r="I26" s="10">
        <v>0.81200000000000006</v>
      </c>
      <c r="J26" s="10">
        <v>0</v>
      </c>
      <c r="K26" s="36">
        <f t="shared" si="0"/>
        <v>0.81200000000000006</v>
      </c>
    </row>
    <row r="27" spans="1:11" s="74" customFormat="1" ht="30" customHeight="1" x14ac:dyDescent="0.25">
      <c r="A27" s="140">
        <v>17</v>
      </c>
      <c r="B27" s="49" t="s">
        <v>2285</v>
      </c>
      <c r="C27" s="15" t="s">
        <v>39</v>
      </c>
      <c r="D27" s="7" t="s">
        <v>760</v>
      </c>
      <c r="E27" s="14" t="s">
        <v>1038</v>
      </c>
      <c r="F27" s="13" t="s">
        <v>1051</v>
      </c>
      <c r="G27" s="13">
        <v>4.5</v>
      </c>
      <c r="H27" s="10">
        <f>0.865+0.974+0.133+0.411+0.29+0.467</f>
        <v>3.14</v>
      </c>
      <c r="I27" s="10">
        <f>1.839+0.133</f>
        <v>1.972</v>
      </c>
      <c r="J27" s="10">
        <v>0</v>
      </c>
      <c r="K27" s="36">
        <f t="shared" si="0"/>
        <v>3.14</v>
      </c>
    </row>
    <row r="28" spans="1:11" s="74" customFormat="1" ht="28.9" customHeight="1" x14ac:dyDescent="0.25">
      <c r="A28" s="140">
        <v>18</v>
      </c>
      <c r="B28" s="49" t="s">
        <v>2286</v>
      </c>
      <c r="C28" s="15" t="s">
        <v>39</v>
      </c>
      <c r="D28" s="7" t="s">
        <v>761</v>
      </c>
      <c r="E28" s="14" t="s">
        <v>1038</v>
      </c>
      <c r="F28" s="13" t="s">
        <v>1051</v>
      </c>
      <c r="G28" s="13">
        <v>4</v>
      </c>
      <c r="H28" s="10">
        <f>1.425+0.16</f>
        <v>1.585</v>
      </c>
      <c r="I28" s="10">
        <v>1.43</v>
      </c>
      <c r="J28" s="10">
        <v>1.4179999999999999</v>
      </c>
      <c r="K28" s="36">
        <f t="shared" si="0"/>
        <v>3.0030000000000001</v>
      </c>
    </row>
    <row r="29" spans="1:11" s="74" customFormat="1" ht="34.9" customHeight="1" x14ac:dyDescent="0.25">
      <c r="A29" s="140">
        <v>19</v>
      </c>
      <c r="B29" s="49" t="s">
        <v>2287</v>
      </c>
      <c r="C29" s="15" t="s">
        <v>39</v>
      </c>
      <c r="D29" s="7" t="s">
        <v>762</v>
      </c>
      <c r="E29" s="14" t="s">
        <v>1038</v>
      </c>
      <c r="F29" s="13" t="s">
        <v>1051</v>
      </c>
      <c r="G29" s="13">
        <v>4</v>
      </c>
      <c r="H29" s="10">
        <v>0.89400000000000002</v>
      </c>
      <c r="I29" s="10">
        <v>0.89400000000000002</v>
      </c>
      <c r="J29" s="10">
        <v>0</v>
      </c>
      <c r="K29" s="36">
        <f t="shared" si="0"/>
        <v>0.89400000000000002</v>
      </c>
    </row>
    <row r="30" spans="1:11" s="74" customFormat="1" ht="33.6" customHeight="1" x14ac:dyDescent="0.25">
      <c r="A30" s="140">
        <v>20</v>
      </c>
      <c r="B30" s="49" t="s">
        <v>2288</v>
      </c>
      <c r="C30" s="15" t="s">
        <v>39</v>
      </c>
      <c r="D30" s="7" t="s">
        <v>763</v>
      </c>
      <c r="E30" s="14" t="s">
        <v>1038</v>
      </c>
      <c r="F30" s="13" t="s">
        <v>1051</v>
      </c>
      <c r="G30" s="13">
        <v>4</v>
      </c>
      <c r="H30" s="10">
        <v>0.27800000000000002</v>
      </c>
      <c r="I30" s="10">
        <v>0</v>
      </c>
      <c r="J30" s="10">
        <v>0</v>
      </c>
      <c r="K30" s="36">
        <f t="shared" si="0"/>
        <v>0.27800000000000002</v>
      </c>
    </row>
    <row r="31" spans="1:11" s="74" customFormat="1" ht="37.15" customHeight="1" x14ac:dyDescent="0.25">
      <c r="A31" s="140">
        <v>21</v>
      </c>
      <c r="B31" s="49" t="s">
        <v>2289</v>
      </c>
      <c r="C31" s="15" t="s">
        <v>38</v>
      </c>
      <c r="D31" s="7" t="s">
        <v>764</v>
      </c>
      <c r="E31" s="14" t="s">
        <v>1038</v>
      </c>
      <c r="F31" s="13" t="s">
        <v>1051</v>
      </c>
      <c r="G31" s="13">
        <v>3.5</v>
      </c>
      <c r="H31" s="10">
        <v>0</v>
      </c>
      <c r="I31" s="10">
        <v>0</v>
      </c>
      <c r="J31" s="10">
        <v>0.47</v>
      </c>
      <c r="K31" s="36">
        <f t="shared" si="0"/>
        <v>0.47</v>
      </c>
    </row>
    <row r="32" spans="1:11" s="74" customFormat="1" ht="34.9" customHeight="1" x14ac:dyDescent="0.25">
      <c r="A32" s="140">
        <v>22</v>
      </c>
      <c r="B32" s="49" t="s">
        <v>2290</v>
      </c>
      <c r="C32" s="15" t="s">
        <v>39</v>
      </c>
      <c r="D32" s="7" t="s">
        <v>765</v>
      </c>
      <c r="E32" s="14" t="s">
        <v>1038</v>
      </c>
      <c r="F32" s="13" t="s">
        <v>1051</v>
      </c>
      <c r="G32" s="13">
        <v>3.5</v>
      </c>
      <c r="H32" s="10">
        <f>0.115+0.043</f>
        <v>0.158</v>
      </c>
      <c r="I32" s="10">
        <v>0.115</v>
      </c>
      <c r="J32" s="10">
        <v>0</v>
      </c>
      <c r="K32" s="36">
        <f t="shared" si="0"/>
        <v>0.158</v>
      </c>
    </row>
    <row r="33" spans="1:11" s="74" customFormat="1" ht="37.15" customHeight="1" x14ac:dyDescent="0.25">
      <c r="A33" s="140">
        <v>23</v>
      </c>
      <c r="B33" s="49" t="s">
        <v>2291</v>
      </c>
      <c r="C33" s="15" t="s">
        <v>38</v>
      </c>
      <c r="D33" s="7" t="s">
        <v>766</v>
      </c>
      <c r="E33" s="14" t="s">
        <v>1038</v>
      </c>
      <c r="F33" s="13" t="s">
        <v>1051</v>
      </c>
      <c r="G33" s="13">
        <v>3.5</v>
      </c>
      <c r="H33" s="10">
        <v>0</v>
      </c>
      <c r="I33" s="10">
        <v>0</v>
      </c>
      <c r="J33" s="10">
        <v>1.1559999999999999</v>
      </c>
      <c r="K33" s="36">
        <f t="shared" si="0"/>
        <v>1.1559999999999999</v>
      </c>
    </row>
    <row r="34" spans="1:11" s="74" customFormat="1" ht="34.9" customHeight="1" x14ac:dyDescent="0.25">
      <c r="A34" s="140">
        <v>24</v>
      </c>
      <c r="B34" s="49" t="s">
        <v>2292</v>
      </c>
      <c r="C34" s="15" t="s">
        <v>39</v>
      </c>
      <c r="D34" s="7" t="s">
        <v>767</v>
      </c>
      <c r="E34" s="14" t="s">
        <v>1038</v>
      </c>
      <c r="F34" s="13" t="s">
        <v>1051</v>
      </c>
      <c r="G34" s="13">
        <v>4.5</v>
      </c>
      <c r="H34" s="10">
        <f>1.331+0.376+0.412</f>
        <v>2.1189999999999998</v>
      </c>
      <c r="I34" s="10">
        <v>1.331</v>
      </c>
      <c r="J34" s="10">
        <v>0.17100000000000001</v>
      </c>
      <c r="K34" s="36">
        <f t="shared" si="0"/>
        <v>2.2899999999999996</v>
      </c>
    </row>
    <row r="35" spans="1:11" s="74" customFormat="1" ht="32.450000000000003" customHeight="1" x14ac:dyDescent="0.25">
      <c r="A35" s="140">
        <v>25</v>
      </c>
      <c r="B35" s="49" t="s">
        <v>2293</v>
      </c>
      <c r="C35" s="15" t="s">
        <v>38</v>
      </c>
      <c r="D35" s="7" t="s">
        <v>768</v>
      </c>
      <c r="E35" s="14" t="s">
        <v>1038</v>
      </c>
      <c r="F35" s="13" t="s">
        <v>1051</v>
      </c>
      <c r="G35" s="13">
        <v>3.5</v>
      </c>
      <c r="H35" s="10">
        <v>0</v>
      </c>
      <c r="I35" s="10">
        <v>0</v>
      </c>
      <c r="J35" s="10">
        <v>0.77400000000000002</v>
      </c>
      <c r="K35" s="36">
        <f t="shared" si="0"/>
        <v>0.77400000000000002</v>
      </c>
    </row>
    <row r="36" spans="1:11" s="74" customFormat="1" ht="31.15" customHeight="1" x14ac:dyDescent="0.25">
      <c r="A36" s="140">
        <v>26</v>
      </c>
      <c r="B36" s="49" t="s">
        <v>2294</v>
      </c>
      <c r="C36" s="15" t="s">
        <v>39</v>
      </c>
      <c r="D36" s="7" t="s">
        <v>769</v>
      </c>
      <c r="E36" s="14" t="s">
        <v>1038</v>
      </c>
      <c r="F36" s="13" t="s">
        <v>1051</v>
      </c>
      <c r="G36" s="13">
        <v>3.5</v>
      </c>
      <c r="H36" s="10">
        <f>0.26+0.154</f>
        <v>0.41400000000000003</v>
      </c>
      <c r="I36" s="10">
        <v>0</v>
      </c>
      <c r="J36" s="10">
        <v>0</v>
      </c>
      <c r="K36" s="36">
        <f t="shared" si="0"/>
        <v>0.41400000000000003</v>
      </c>
    </row>
    <row r="37" spans="1:11" s="74" customFormat="1" ht="30.6" customHeight="1" x14ac:dyDescent="0.25">
      <c r="A37" s="140">
        <v>27</v>
      </c>
      <c r="B37" s="49" t="s">
        <v>2295</v>
      </c>
      <c r="C37" s="15" t="s">
        <v>39</v>
      </c>
      <c r="D37" s="7" t="s">
        <v>770</v>
      </c>
      <c r="E37" s="14" t="s">
        <v>1038</v>
      </c>
      <c r="F37" s="13" t="s">
        <v>1051</v>
      </c>
      <c r="G37" s="13">
        <v>4</v>
      </c>
      <c r="H37" s="167">
        <f>0.245+0.633+0.358+0.21+0.2-0.118</f>
        <v>1.528</v>
      </c>
      <c r="I37" s="167">
        <v>0.245</v>
      </c>
      <c r="J37" s="167">
        <v>0.11799999999999999</v>
      </c>
      <c r="K37" s="36">
        <f t="shared" si="0"/>
        <v>1.6459999999999999</v>
      </c>
    </row>
    <row r="38" spans="1:11" s="74" customFormat="1" ht="33" customHeight="1" x14ac:dyDescent="0.25">
      <c r="A38" s="140">
        <v>28</v>
      </c>
      <c r="B38" s="49" t="s">
        <v>2296</v>
      </c>
      <c r="C38" s="15" t="s">
        <v>38</v>
      </c>
      <c r="D38" s="7" t="s">
        <v>771</v>
      </c>
      <c r="E38" s="14" t="s">
        <v>1038</v>
      </c>
      <c r="F38" s="13" t="s">
        <v>1051</v>
      </c>
      <c r="G38" s="13">
        <v>3.5</v>
      </c>
      <c r="H38" s="10">
        <v>0</v>
      </c>
      <c r="I38" s="10">
        <v>0</v>
      </c>
      <c r="J38" s="10">
        <v>1.2250000000000001</v>
      </c>
      <c r="K38" s="36">
        <f t="shared" si="0"/>
        <v>1.2250000000000001</v>
      </c>
    </row>
    <row r="39" spans="1:11" s="74" customFormat="1" ht="33.6" customHeight="1" x14ac:dyDescent="0.25">
      <c r="A39" s="140">
        <v>29</v>
      </c>
      <c r="B39" s="49" t="s">
        <v>2297</v>
      </c>
      <c r="C39" s="15" t="s">
        <v>38</v>
      </c>
      <c r="D39" s="7" t="s">
        <v>772</v>
      </c>
      <c r="E39" s="14" t="s">
        <v>1038</v>
      </c>
      <c r="F39" s="13" t="s">
        <v>1051</v>
      </c>
      <c r="G39" s="13">
        <v>3.5</v>
      </c>
      <c r="H39" s="10">
        <v>0</v>
      </c>
      <c r="I39" s="10">
        <v>0</v>
      </c>
      <c r="J39" s="10">
        <v>1.3979999999999999</v>
      </c>
      <c r="K39" s="36">
        <f t="shared" si="0"/>
        <v>1.3979999999999999</v>
      </c>
    </row>
    <row r="40" spans="1:11" s="74" customFormat="1" ht="34.9" customHeight="1" x14ac:dyDescent="0.25">
      <c r="A40" s="140">
        <v>30</v>
      </c>
      <c r="B40" s="49" t="s">
        <v>2298</v>
      </c>
      <c r="C40" s="15" t="s">
        <v>38</v>
      </c>
      <c r="D40" s="7" t="s">
        <v>773</v>
      </c>
      <c r="E40" s="14" t="s">
        <v>1038</v>
      </c>
      <c r="F40" s="13" t="s">
        <v>1051</v>
      </c>
      <c r="G40" s="13">
        <v>3.5</v>
      </c>
      <c r="H40" s="10">
        <v>0</v>
      </c>
      <c r="I40" s="10">
        <v>0</v>
      </c>
      <c r="J40" s="10">
        <v>1.2649999999999999</v>
      </c>
      <c r="K40" s="36">
        <f t="shared" si="0"/>
        <v>1.2649999999999999</v>
      </c>
    </row>
    <row r="41" spans="1:11" s="74" customFormat="1" ht="31.9" customHeight="1" x14ac:dyDescent="0.25">
      <c r="A41" s="140">
        <v>31</v>
      </c>
      <c r="B41" s="49" t="s">
        <v>2299</v>
      </c>
      <c r="C41" s="15" t="s">
        <v>39</v>
      </c>
      <c r="D41" s="57" t="s">
        <v>3286</v>
      </c>
      <c r="E41" s="14" t="s">
        <v>1038</v>
      </c>
      <c r="F41" s="13" t="s">
        <v>1051</v>
      </c>
      <c r="G41" s="13">
        <v>4</v>
      </c>
      <c r="H41" s="158">
        <f>0.089+1.368+0.142</f>
        <v>1.599</v>
      </c>
      <c r="I41" s="158">
        <f>0.089+1.368+0.142</f>
        <v>1.599</v>
      </c>
      <c r="J41" s="10">
        <v>0</v>
      </c>
      <c r="K41" s="36">
        <f t="shared" si="0"/>
        <v>1.599</v>
      </c>
    </row>
    <row r="42" spans="1:11" s="74" customFormat="1" ht="34.15" customHeight="1" x14ac:dyDescent="0.25">
      <c r="A42" s="140">
        <v>32</v>
      </c>
      <c r="B42" s="49" t="s">
        <v>2300</v>
      </c>
      <c r="C42" s="15" t="s">
        <v>38</v>
      </c>
      <c r="D42" s="7" t="s">
        <v>774</v>
      </c>
      <c r="E42" s="14" t="s">
        <v>1038</v>
      </c>
      <c r="F42" s="13" t="s">
        <v>1051</v>
      </c>
      <c r="G42" s="13">
        <v>6</v>
      </c>
      <c r="H42" s="10">
        <v>1.6559999999999999</v>
      </c>
      <c r="I42" s="10">
        <v>1.6559999999999999</v>
      </c>
      <c r="J42" s="10">
        <v>0</v>
      </c>
      <c r="K42" s="36">
        <f t="shared" si="0"/>
        <v>1.6559999999999999</v>
      </c>
    </row>
    <row r="43" spans="1:11" s="74" customFormat="1" ht="28.15" customHeight="1" x14ac:dyDescent="0.25">
      <c r="A43" s="140">
        <v>33</v>
      </c>
      <c r="B43" s="49" t="s">
        <v>2301</v>
      </c>
      <c r="C43" s="15" t="s">
        <v>39</v>
      </c>
      <c r="D43" s="7" t="s">
        <v>775</v>
      </c>
      <c r="E43" s="14" t="s">
        <v>1038</v>
      </c>
      <c r="F43" s="13" t="s">
        <v>1051</v>
      </c>
      <c r="G43" s="13">
        <v>3.5</v>
      </c>
      <c r="H43" s="10">
        <v>0.751</v>
      </c>
      <c r="I43" s="10">
        <v>0</v>
      </c>
      <c r="J43" s="10">
        <v>0</v>
      </c>
      <c r="K43" s="36">
        <f t="shared" si="0"/>
        <v>0.751</v>
      </c>
    </row>
    <row r="44" spans="1:11" s="74" customFormat="1" ht="26.45" customHeight="1" x14ac:dyDescent="0.25">
      <c r="A44" s="140">
        <v>34</v>
      </c>
      <c r="B44" s="49" t="s">
        <v>2302</v>
      </c>
      <c r="C44" s="15" t="s">
        <v>39</v>
      </c>
      <c r="D44" s="7" t="s">
        <v>776</v>
      </c>
      <c r="E44" s="14" t="s">
        <v>1038</v>
      </c>
      <c r="F44" s="13" t="s">
        <v>1051</v>
      </c>
      <c r="G44" s="13">
        <v>3.5</v>
      </c>
      <c r="H44" s="10">
        <f>0.4+0.35</f>
        <v>0.75</v>
      </c>
      <c r="I44" s="10">
        <v>0</v>
      </c>
      <c r="J44" s="10">
        <v>0</v>
      </c>
      <c r="K44" s="36">
        <f t="shared" si="0"/>
        <v>0.75</v>
      </c>
    </row>
    <row r="45" spans="1:11" s="74" customFormat="1" ht="33" customHeight="1" x14ac:dyDescent="0.25">
      <c r="A45" s="140">
        <v>35</v>
      </c>
      <c r="B45" s="49" t="s">
        <v>2303</v>
      </c>
      <c r="C45" s="15" t="s">
        <v>39</v>
      </c>
      <c r="D45" s="7" t="s">
        <v>777</v>
      </c>
      <c r="E45" s="14" t="s">
        <v>1038</v>
      </c>
      <c r="F45" s="13" t="s">
        <v>1051</v>
      </c>
      <c r="G45" s="13">
        <v>4</v>
      </c>
      <c r="H45" s="10">
        <f>0.28+1.139</f>
        <v>1.419</v>
      </c>
      <c r="I45" s="10">
        <v>0.28000000000000003</v>
      </c>
      <c r="J45" s="10">
        <v>0</v>
      </c>
      <c r="K45" s="36">
        <f t="shared" si="0"/>
        <v>1.419</v>
      </c>
    </row>
    <row r="46" spans="1:11" s="74" customFormat="1" ht="37.9" customHeight="1" x14ac:dyDescent="0.25">
      <c r="A46" s="140">
        <v>36</v>
      </c>
      <c r="B46" s="49" t="s">
        <v>2304</v>
      </c>
      <c r="C46" s="15" t="s">
        <v>39</v>
      </c>
      <c r="D46" s="7" t="s">
        <v>778</v>
      </c>
      <c r="E46" s="14" t="s">
        <v>1038</v>
      </c>
      <c r="F46" s="13" t="s">
        <v>1051</v>
      </c>
      <c r="G46" s="13">
        <v>4</v>
      </c>
      <c r="H46" s="10">
        <v>0.58399999999999996</v>
      </c>
      <c r="I46" s="10">
        <v>0</v>
      </c>
      <c r="J46" s="10">
        <v>0</v>
      </c>
      <c r="K46" s="36">
        <f t="shared" si="0"/>
        <v>0.58399999999999996</v>
      </c>
    </row>
    <row r="47" spans="1:11" s="74" customFormat="1" ht="42.6" customHeight="1" x14ac:dyDescent="0.25">
      <c r="A47" s="140">
        <v>37</v>
      </c>
      <c r="B47" s="49" t="s">
        <v>2305</v>
      </c>
      <c r="C47" s="15" t="s">
        <v>39</v>
      </c>
      <c r="D47" s="7" t="s">
        <v>779</v>
      </c>
      <c r="E47" s="14" t="s">
        <v>1038</v>
      </c>
      <c r="F47" s="13" t="s">
        <v>1051</v>
      </c>
      <c r="G47" s="13">
        <v>4</v>
      </c>
      <c r="H47" s="10">
        <f>0.528+0.263</f>
        <v>0.79100000000000004</v>
      </c>
      <c r="I47" s="10">
        <v>0.79100000000000004</v>
      </c>
      <c r="J47" s="10">
        <v>0</v>
      </c>
      <c r="K47" s="36">
        <f t="shared" si="0"/>
        <v>0.79100000000000004</v>
      </c>
    </row>
    <row r="48" spans="1:11" s="74" customFormat="1" ht="37.15" customHeight="1" x14ac:dyDescent="0.25">
      <c r="A48" s="140">
        <v>38</v>
      </c>
      <c r="B48" s="49" t="s">
        <v>2306</v>
      </c>
      <c r="C48" s="15" t="s">
        <v>39</v>
      </c>
      <c r="D48" s="7" t="s">
        <v>780</v>
      </c>
      <c r="E48" s="14" t="s">
        <v>1038</v>
      </c>
      <c r="F48" s="13" t="s">
        <v>1051</v>
      </c>
      <c r="G48" s="13">
        <v>4</v>
      </c>
      <c r="H48" s="10">
        <v>1.1200000000000001</v>
      </c>
      <c r="I48" s="10">
        <v>1.1200000000000001</v>
      </c>
      <c r="J48" s="10">
        <v>0</v>
      </c>
      <c r="K48" s="36">
        <f t="shared" si="0"/>
        <v>1.1200000000000001</v>
      </c>
    </row>
    <row r="49" spans="1:11" s="74" customFormat="1" ht="31.15" customHeight="1" x14ac:dyDescent="0.25">
      <c r="A49" s="140">
        <v>39</v>
      </c>
      <c r="B49" s="49" t="s">
        <v>2307</v>
      </c>
      <c r="C49" s="15" t="s">
        <v>39</v>
      </c>
      <c r="D49" s="7" t="s">
        <v>781</v>
      </c>
      <c r="E49" s="14" t="s">
        <v>1038</v>
      </c>
      <c r="F49" s="13" t="s">
        <v>1051</v>
      </c>
      <c r="G49" s="13">
        <v>4</v>
      </c>
      <c r="H49" s="10">
        <v>1.409</v>
      </c>
      <c r="I49" s="10">
        <v>1.409</v>
      </c>
      <c r="J49" s="10">
        <v>0</v>
      </c>
      <c r="K49" s="36">
        <f t="shared" si="0"/>
        <v>1.409</v>
      </c>
    </row>
    <row r="50" spans="1:11" s="74" customFormat="1" ht="34.9" customHeight="1" x14ac:dyDescent="0.25">
      <c r="A50" s="140">
        <v>40</v>
      </c>
      <c r="B50" s="49" t="s">
        <v>2308</v>
      </c>
      <c r="C50" s="15" t="s">
        <v>38</v>
      </c>
      <c r="D50" s="7" t="s">
        <v>782</v>
      </c>
      <c r="E50" s="14" t="s">
        <v>1038</v>
      </c>
      <c r="F50" s="13" t="s">
        <v>1051</v>
      </c>
      <c r="G50" s="13">
        <v>3.5</v>
      </c>
      <c r="H50" s="10">
        <v>0</v>
      </c>
      <c r="I50" s="10">
        <v>0</v>
      </c>
      <c r="J50" s="10">
        <v>0.68600000000000005</v>
      </c>
      <c r="K50" s="36">
        <f t="shared" si="0"/>
        <v>0.68600000000000005</v>
      </c>
    </row>
    <row r="51" spans="1:11" s="74" customFormat="1" ht="32.450000000000003" customHeight="1" x14ac:dyDescent="0.25">
      <c r="A51" s="140">
        <v>41</v>
      </c>
      <c r="B51" s="49" t="s">
        <v>2309</v>
      </c>
      <c r="C51" s="15" t="s">
        <v>39</v>
      </c>
      <c r="D51" s="7" t="s">
        <v>783</v>
      </c>
      <c r="E51" s="14" t="s">
        <v>1038</v>
      </c>
      <c r="F51" s="13" t="s">
        <v>1051</v>
      </c>
      <c r="G51" s="13">
        <v>4</v>
      </c>
      <c r="H51" s="10">
        <f>0.674+0.343+0.189+0.05+0.17</f>
        <v>1.4260000000000002</v>
      </c>
      <c r="I51" s="10">
        <v>1.4259999999999999</v>
      </c>
      <c r="J51" s="10">
        <f>1.102</f>
        <v>1.1020000000000001</v>
      </c>
      <c r="K51" s="36">
        <f t="shared" si="0"/>
        <v>2.5280000000000005</v>
      </c>
    </row>
    <row r="52" spans="1:11" s="74" customFormat="1" ht="44.45" customHeight="1" x14ac:dyDescent="0.25">
      <c r="A52" s="140">
        <v>42</v>
      </c>
      <c r="B52" s="49" t="s">
        <v>2310</v>
      </c>
      <c r="C52" s="15" t="s">
        <v>38</v>
      </c>
      <c r="D52" s="7" t="s">
        <v>784</v>
      </c>
      <c r="E52" s="14" t="s">
        <v>1038</v>
      </c>
      <c r="F52" s="13" t="s">
        <v>1051</v>
      </c>
      <c r="G52" s="13">
        <v>3.5</v>
      </c>
      <c r="H52" s="10">
        <v>0</v>
      </c>
      <c r="I52" s="10">
        <v>0</v>
      </c>
      <c r="J52" s="10">
        <v>0.57099999999999995</v>
      </c>
      <c r="K52" s="36">
        <f t="shared" si="0"/>
        <v>0.57099999999999995</v>
      </c>
    </row>
    <row r="53" spans="1:11" s="74" customFormat="1" ht="34.9" customHeight="1" x14ac:dyDescent="0.25">
      <c r="A53" s="140">
        <v>43</v>
      </c>
      <c r="B53" s="49" t="s">
        <v>2311</v>
      </c>
      <c r="C53" s="15" t="s">
        <v>38</v>
      </c>
      <c r="D53" s="7" t="s">
        <v>785</v>
      </c>
      <c r="E53" s="14" t="s">
        <v>1038</v>
      </c>
      <c r="F53" s="13" t="s">
        <v>1051</v>
      </c>
      <c r="G53" s="13">
        <v>3.5</v>
      </c>
      <c r="H53" s="10">
        <v>0</v>
      </c>
      <c r="I53" s="10">
        <v>0</v>
      </c>
      <c r="J53" s="10">
        <v>0.73799999999999999</v>
      </c>
      <c r="K53" s="36">
        <f t="shared" si="0"/>
        <v>0.73799999999999999</v>
      </c>
    </row>
    <row r="54" spans="1:11" s="74" customFormat="1" ht="38.450000000000003" customHeight="1" x14ac:dyDescent="0.25">
      <c r="A54" s="140">
        <v>44</v>
      </c>
      <c r="B54" s="49" t="s">
        <v>2312</v>
      </c>
      <c r="C54" s="15" t="s">
        <v>39</v>
      </c>
      <c r="D54" s="7" t="s">
        <v>786</v>
      </c>
      <c r="E54" s="14" t="s">
        <v>1038</v>
      </c>
      <c r="F54" s="13" t="s">
        <v>1051</v>
      </c>
      <c r="G54" s="13">
        <v>4</v>
      </c>
      <c r="H54" s="10">
        <f>0.753+0.35</f>
        <v>1.103</v>
      </c>
      <c r="I54" s="10">
        <v>1.103</v>
      </c>
      <c r="J54" s="10">
        <v>0</v>
      </c>
      <c r="K54" s="36">
        <f t="shared" si="0"/>
        <v>1.103</v>
      </c>
    </row>
    <row r="55" spans="1:11" s="74" customFormat="1" ht="37.15" customHeight="1" x14ac:dyDescent="0.25">
      <c r="A55" s="140">
        <v>45</v>
      </c>
      <c r="B55" s="49" t="s">
        <v>2313</v>
      </c>
      <c r="C55" s="15" t="s">
        <v>39</v>
      </c>
      <c r="D55" s="7" t="s">
        <v>787</v>
      </c>
      <c r="E55" s="14" t="s">
        <v>1038</v>
      </c>
      <c r="F55" s="13" t="s">
        <v>1051</v>
      </c>
      <c r="G55" s="13">
        <v>6</v>
      </c>
      <c r="H55" s="10">
        <v>0.67200000000000004</v>
      </c>
      <c r="I55" s="10">
        <v>0.67200000000000004</v>
      </c>
      <c r="J55" s="10">
        <v>0.17699999999999999</v>
      </c>
      <c r="K55" s="36">
        <f t="shared" si="0"/>
        <v>0.84899999999999998</v>
      </c>
    </row>
    <row r="56" spans="1:11" s="74" customFormat="1" ht="31.15" customHeight="1" x14ac:dyDescent="0.25">
      <c r="A56" s="140">
        <v>46</v>
      </c>
      <c r="B56" s="49" t="s">
        <v>2314</v>
      </c>
      <c r="C56" s="15" t="s">
        <v>39</v>
      </c>
      <c r="D56" s="7" t="s">
        <v>788</v>
      </c>
      <c r="E56" s="14" t="s">
        <v>1038</v>
      </c>
      <c r="F56" s="13" t="s">
        <v>1051</v>
      </c>
      <c r="G56" s="13">
        <v>4</v>
      </c>
      <c r="H56" s="10">
        <v>1.026</v>
      </c>
      <c r="I56" s="10">
        <v>0</v>
      </c>
      <c r="J56" s="10">
        <v>0</v>
      </c>
      <c r="K56" s="36">
        <f t="shared" si="0"/>
        <v>1.026</v>
      </c>
    </row>
    <row r="57" spans="1:11" s="74" customFormat="1" ht="30" customHeight="1" x14ac:dyDescent="0.25">
      <c r="A57" s="140">
        <v>47</v>
      </c>
      <c r="B57" s="49" t="s">
        <v>2315</v>
      </c>
      <c r="C57" s="15" t="s">
        <v>39</v>
      </c>
      <c r="D57" s="7" t="s">
        <v>789</v>
      </c>
      <c r="E57" s="14" t="s">
        <v>1038</v>
      </c>
      <c r="F57" s="13" t="s">
        <v>1051</v>
      </c>
      <c r="G57" s="13">
        <v>4</v>
      </c>
      <c r="H57" s="10">
        <f>0.83+0.244</f>
        <v>1.0739999999999998</v>
      </c>
      <c r="I57" s="10">
        <v>0</v>
      </c>
      <c r="J57" s="10">
        <v>0</v>
      </c>
      <c r="K57" s="36">
        <f t="shared" si="0"/>
        <v>1.0739999999999998</v>
      </c>
    </row>
    <row r="58" spans="1:11" s="74" customFormat="1" ht="33.6" customHeight="1" x14ac:dyDescent="0.25">
      <c r="A58" s="140">
        <v>48</v>
      </c>
      <c r="B58" s="49" t="s">
        <v>2316</v>
      </c>
      <c r="C58" s="15" t="s">
        <v>38</v>
      </c>
      <c r="D58" s="7" t="s">
        <v>790</v>
      </c>
      <c r="E58" s="14" t="s">
        <v>1038</v>
      </c>
      <c r="F58" s="13" t="s">
        <v>1051</v>
      </c>
      <c r="G58" s="13">
        <v>4</v>
      </c>
      <c r="H58" s="10">
        <v>0.21199999999999999</v>
      </c>
      <c r="I58" s="10">
        <v>0</v>
      </c>
      <c r="J58" s="10">
        <v>0</v>
      </c>
      <c r="K58" s="36">
        <f t="shared" si="0"/>
        <v>0.21199999999999999</v>
      </c>
    </row>
    <row r="59" spans="1:11" s="74" customFormat="1" ht="31.15" customHeight="1" x14ac:dyDescent="0.25">
      <c r="A59" s="140">
        <v>49</v>
      </c>
      <c r="B59" s="49" t="s">
        <v>2317</v>
      </c>
      <c r="C59" s="15" t="s">
        <v>39</v>
      </c>
      <c r="D59" s="7" t="s">
        <v>791</v>
      </c>
      <c r="E59" s="14" t="s">
        <v>1038</v>
      </c>
      <c r="F59" s="13" t="s">
        <v>1051</v>
      </c>
      <c r="G59" s="13">
        <v>4</v>
      </c>
      <c r="H59" s="10">
        <v>0.94499999999999995</v>
      </c>
      <c r="I59" s="10">
        <v>0.94499999999999995</v>
      </c>
      <c r="J59" s="10">
        <v>0</v>
      </c>
      <c r="K59" s="36">
        <f t="shared" si="0"/>
        <v>0.94499999999999995</v>
      </c>
    </row>
    <row r="60" spans="1:11" s="74" customFormat="1" ht="34.9" customHeight="1" x14ac:dyDescent="0.25">
      <c r="A60" s="140">
        <v>50</v>
      </c>
      <c r="B60" s="49" t="s">
        <v>2318</v>
      </c>
      <c r="C60" s="15" t="s">
        <v>39</v>
      </c>
      <c r="D60" s="7" t="s">
        <v>792</v>
      </c>
      <c r="E60" s="14" t="s">
        <v>1038</v>
      </c>
      <c r="F60" s="13" t="s">
        <v>1051</v>
      </c>
      <c r="G60" s="13">
        <v>3.5</v>
      </c>
      <c r="H60" s="10">
        <v>1.633</v>
      </c>
      <c r="I60" s="10">
        <v>0</v>
      </c>
      <c r="J60" s="10">
        <v>1.089</v>
      </c>
      <c r="K60" s="36">
        <f t="shared" si="0"/>
        <v>2.722</v>
      </c>
    </row>
    <row r="61" spans="1:11" s="74" customFormat="1" ht="32.450000000000003" customHeight="1" x14ac:dyDescent="0.25">
      <c r="A61" s="140">
        <v>51</v>
      </c>
      <c r="B61" s="49" t="s">
        <v>2319</v>
      </c>
      <c r="C61" s="15" t="s">
        <v>39</v>
      </c>
      <c r="D61" s="7" t="s">
        <v>793</v>
      </c>
      <c r="E61" s="14" t="s">
        <v>1038</v>
      </c>
      <c r="F61" s="13" t="s">
        <v>1051</v>
      </c>
      <c r="G61" s="13">
        <v>3.5</v>
      </c>
      <c r="H61" s="10">
        <v>0.74</v>
      </c>
      <c r="I61" s="10">
        <v>0</v>
      </c>
      <c r="J61" s="10">
        <v>0</v>
      </c>
      <c r="K61" s="36">
        <f t="shared" si="0"/>
        <v>0.74</v>
      </c>
    </row>
    <row r="62" spans="1:11" s="74" customFormat="1" ht="33.6" customHeight="1" x14ac:dyDescent="0.25">
      <c r="A62" s="140">
        <v>52</v>
      </c>
      <c r="B62" s="49" t="s">
        <v>2320</v>
      </c>
      <c r="C62" s="15" t="s">
        <v>38</v>
      </c>
      <c r="D62" s="7" t="s">
        <v>794</v>
      </c>
      <c r="E62" s="14" t="s">
        <v>1038</v>
      </c>
      <c r="F62" s="13" t="s">
        <v>1051</v>
      </c>
      <c r="G62" s="13">
        <v>3.5</v>
      </c>
      <c r="H62" s="10">
        <v>0</v>
      </c>
      <c r="I62" s="10">
        <v>0</v>
      </c>
      <c r="J62" s="10">
        <v>0.89800000000000002</v>
      </c>
      <c r="K62" s="36">
        <f t="shared" si="0"/>
        <v>0.89800000000000002</v>
      </c>
    </row>
    <row r="63" spans="1:11" s="74" customFormat="1" ht="31.9" customHeight="1" x14ac:dyDescent="0.25">
      <c r="A63" s="140">
        <v>53</v>
      </c>
      <c r="B63" s="49" t="s">
        <v>2321</v>
      </c>
      <c r="C63" s="15" t="s">
        <v>38</v>
      </c>
      <c r="D63" s="7" t="s">
        <v>795</v>
      </c>
      <c r="E63" s="14" t="s">
        <v>1038</v>
      </c>
      <c r="F63" s="13" t="s">
        <v>1051</v>
      </c>
      <c r="G63" s="13">
        <v>3.5</v>
      </c>
      <c r="H63" s="10">
        <v>0</v>
      </c>
      <c r="I63" s="10">
        <v>0</v>
      </c>
      <c r="J63" s="10">
        <v>0.23599999999999999</v>
      </c>
      <c r="K63" s="36">
        <f t="shared" si="0"/>
        <v>0.23599999999999999</v>
      </c>
    </row>
    <row r="64" spans="1:11" s="74" customFormat="1" ht="29.45" customHeight="1" x14ac:dyDescent="0.25">
      <c r="A64" s="140">
        <v>54</v>
      </c>
      <c r="B64" s="49" t="s">
        <v>2322</v>
      </c>
      <c r="C64" s="15" t="s">
        <v>38</v>
      </c>
      <c r="D64" s="7" t="s">
        <v>796</v>
      </c>
      <c r="E64" s="14" t="s">
        <v>1038</v>
      </c>
      <c r="F64" s="13" t="s">
        <v>1051</v>
      </c>
      <c r="G64" s="13">
        <v>3.5</v>
      </c>
      <c r="H64" s="10">
        <v>0</v>
      </c>
      <c r="I64" s="10">
        <v>0</v>
      </c>
      <c r="J64" s="10">
        <v>1.054</v>
      </c>
      <c r="K64" s="36">
        <f t="shared" si="0"/>
        <v>1.054</v>
      </c>
    </row>
    <row r="65" spans="1:11" s="74" customFormat="1" ht="36.6" customHeight="1" x14ac:dyDescent="0.25">
      <c r="A65" s="140">
        <v>55</v>
      </c>
      <c r="B65" s="49" t="s">
        <v>2323</v>
      </c>
      <c r="C65" s="15" t="s">
        <v>38</v>
      </c>
      <c r="D65" s="7" t="s">
        <v>797</v>
      </c>
      <c r="E65" s="14" t="s">
        <v>1038</v>
      </c>
      <c r="F65" s="13" t="s">
        <v>1051</v>
      </c>
      <c r="G65" s="13">
        <v>3.5</v>
      </c>
      <c r="H65" s="10">
        <v>0.65200000000000002</v>
      </c>
      <c r="I65" s="10">
        <v>0</v>
      </c>
      <c r="J65" s="10">
        <v>0</v>
      </c>
      <c r="K65" s="36">
        <f t="shared" si="0"/>
        <v>0.65200000000000002</v>
      </c>
    </row>
    <row r="66" spans="1:11" s="74" customFormat="1" ht="31.9" customHeight="1" x14ac:dyDescent="0.25">
      <c r="A66" s="140">
        <v>56</v>
      </c>
      <c r="B66" s="49" t="s">
        <v>2324</v>
      </c>
      <c r="C66" s="15" t="s">
        <v>39</v>
      </c>
      <c r="D66" s="7" t="s">
        <v>799</v>
      </c>
      <c r="E66" s="14" t="s">
        <v>1038</v>
      </c>
      <c r="F66" s="13" t="s">
        <v>1051</v>
      </c>
      <c r="G66" s="13">
        <v>4</v>
      </c>
      <c r="H66" s="10">
        <f>0.245+0.706</f>
        <v>0.95099999999999996</v>
      </c>
      <c r="I66" s="10">
        <v>0.95099999999999996</v>
      </c>
      <c r="J66" s="10">
        <v>0</v>
      </c>
      <c r="K66" s="36">
        <f t="shared" si="0"/>
        <v>0.95099999999999996</v>
      </c>
    </row>
    <row r="67" spans="1:11" s="74" customFormat="1" ht="32.450000000000003" customHeight="1" x14ac:dyDescent="0.25">
      <c r="A67" s="140">
        <v>57</v>
      </c>
      <c r="B67" s="49" t="s">
        <v>2325</v>
      </c>
      <c r="C67" s="15" t="s">
        <v>39</v>
      </c>
      <c r="D67" s="7" t="s">
        <v>800</v>
      </c>
      <c r="E67" s="14" t="s">
        <v>1038</v>
      </c>
      <c r="F67" s="13" t="s">
        <v>1051</v>
      </c>
      <c r="G67" s="13">
        <v>3.5</v>
      </c>
      <c r="H67" s="10">
        <f>0.786+0.145+0.185+0.11+0.133</f>
        <v>1.3590000000000002</v>
      </c>
      <c r="I67" s="10">
        <v>1.359</v>
      </c>
      <c r="J67" s="10">
        <v>0.31</v>
      </c>
      <c r="K67" s="36">
        <f t="shared" si="0"/>
        <v>1.6690000000000003</v>
      </c>
    </row>
    <row r="68" spans="1:11" s="74" customFormat="1" ht="33.6" customHeight="1" x14ac:dyDescent="0.25">
      <c r="A68" s="140">
        <v>58</v>
      </c>
      <c r="B68" s="49" t="s">
        <v>2326</v>
      </c>
      <c r="C68" s="15" t="s">
        <v>39</v>
      </c>
      <c r="D68" s="7" t="s">
        <v>801</v>
      </c>
      <c r="E68" s="14" t="s">
        <v>1038</v>
      </c>
      <c r="F68" s="13" t="s">
        <v>1051</v>
      </c>
      <c r="G68" s="13">
        <v>3</v>
      </c>
      <c r="H68" s="10">
        <f>0.115+0.109</f>
        <v>0.224</v>
      </c>
      <c r="I68" s="10">
        <v>0.224</v>
      </c>
      <c r="J68" s="10">
        <v>0</v>
      </c>
      <c r="K68" s="36">
        <f t="shared" si="0"/>
        <v>0.224</v>
      </c>
    </row>
    <row r="69" spans="1:11" s="74" customFormat="1" ht="40.15" customHeight="1" x14ac:dyDescent="0.25">
      <c r="A69" s="140">
        <v>59</v>
      </c>
      <c r="B69" s="49" t="s">
        <v>2327</v>
      </c>
      <c r="C69" s="15" t="s">
        <v>38</v>
      </c>
      <c r="D69" s="7" t="s">
        <v>802</v>
      </c>
      <c r="E69" s="14" t="s">
        <v>1038</v>
      </c>
      <c r="F69" s="13" t="s">
        <v>1051</v>
      </c>
      <c r="G69" s="13">
        <v>4</v>
      </c>
      <c r="H69" s="10">
        <v>0.40899999999999997</v>
      </c>
      <c r="I69" s="10">
        <v>0.40899999999999997</v>
      </c>
      <c r="J69" s="10">
        <v>0</v>
      </c>
      <c r="K69" s="36">
        <f t="shared" si="0"/>
        <v>0.40899999999999997</v>
      </c>
    </row>
    <row r="70" spans="1:11" s="74" customFormat="1" ht="37.15" customHeight="1" x14ac:dyDescent="0.25">
      <c r="A70" s="140">
        <v>60</v>
      </c>
      <c r="B70" s="49" t="s">
        <v>2328</v>
      </c>
      <c r="C70" s="15" t="s">
        <v>38</v>
      </c>
      <c r="D70" s="7" t="s">
        <v>803</v>
      </c>
      <c r="E70" s="14" t="s">
        <v>1038</v>
      </c>
      <c r="F70" s="13" t="s">
        <v>1051</v>
      </c>
      <c r="G70" s="13">
        <v>3</v>
      </c>
      <c r="H70" s="10">
        <v>0</v>
      </c>
      <c r="I70" s="10">
        <v>0</v>
      </c>
      <c r="J70" s="10">
        <v>0.86399999999999999</v>
      </c>
      <c r="K70" s="36">
        <f t="shared" si="0"/>
        <v>0.86399999999999999</v>
      </c>
    </row>
    <row r="71" spans="1:11" s="74" customFormat="1" ht="35.450000000000003" customHeight="1" x14ac:dyDescent="0.25">
      <c r="A71" s="140">
        <v>61</v>
      </c>
      <c r="B71" s="49" t="s">
        <v>2329</v>
      </c>
      <c r="C71" s="15" t="s">
        <v>38</v>
      </c>
      <c r="D71" s="7" t="s">
        <v>804</v>
      </c>
      <c r="E71" s="14" t="s">
        <v>1038</v>
      </c>
      <c r="F71" s="13" t="s">
        <v>1051</v>
      </c>
      <c r="G71" s="13">
        <v>3.5</v>
      </c>
      <c r="H71" s="10">
        <f>0.642+0.129</f>
        <v>0.77100000000000002</v>
      </c>
      <c r="I71" s="10">
        <v>0.77100000000000002</v>
      </c>
      <c r="J71" s="10">
        <v>0</v>
      </c>
      <c r="K71" s="36">
        <f t="shared" si="0"/>
        <v>0.77100000000000002</v>
      </c>
    </row>
    <row r="72" spans="1:11" s="74" customFormat="1" ht="32.450000000000003" customHeight="1" x14ac:dyDescent="0.25">
      <c r="A72" s="140">
        <v>62</v>
      </c>
      <c r="B72" s="49" t="s">
        <v>2330</v>
      </c>
      <c r="C72" s="15" t="s">
        <v>38</v>
      </c>
      <c r="D72" s="7" t="s">
        <v>805</v>
      </c>
      <c r="E72" s="14" t="s">
        <v>1038</v>
      </c>
      <c r="F72" s="13" t="s">
        <v>1051</v>
      </c>
      <c r="G72" s="13">
        <v>3.5</v>
      </c>
      <c r="H72" s="10">
        <v>0.22900000000000001</v>
      </c>
      <c r="I72" s="10">
        <v>0.22900000000000001</v>
      </c>
      <c r="J72" s="10">
        <v>0</v>
      </c>
      <c r="K72" s="36">
        <f t="shared" si="0"/>
        <v>0.22900000000000001</v>
      </c>
    </row>
    <row r="73" spans="1:11" s="74" customFormat="1" ht="32.450000000000003" customHeight="1" x14ac:dyDescent="0.25">
      <c r="A73" s="140">
        <v>63</v>
      </c>
      <c r="B73" s="49" t="s">
        <v>2331</v>
      </c>
      <c r="C73" s="15" t="s">
        <v>38</v>
      </c>
      <c r="D73" s="7" t="s">
        <v>806</v>
      </c>
      <c r="E73" s="14" t="s">
        <v>1038</v>
      </c>
      <c r="F73" s="13" t="s">
        <v>1051</v>
      </c>
      <c r="G73" s="13">
        <v>3.5</v>
      </c>
      <c r="H73" s="10">
        <v>0.315</v>
      </c>
      <c r="I73" s="10">
        <v>0.315</v>
      </c>
      <c r="J73" s="10">
        <v>0</v>
      </c>
      <c r="K73" s="36">
        <f t="shared" si="0"/>
        <v>0.315</v>
      </c>
    </row>
    <row r="74" spans="1:11" s="74" customFormat="1" ht="33" customHeight="1" x14ac:dyDescent="0.25">
      <c r="A74" s="140">
        <v>64</v>
      </c>
      <c r="B74" s="49" t="s">
        <v>2332</v>
      </c>
      <c r="C74" s="15" t="s">
        <v>38</v>
      </c>
      <c r="D74" s="7" t="s">
        <v>807</v>
      </c>
      <c r="E74" s="14" t="s">
        <v>1038</v>
      </c>
      <c r="F74" s="13" t="s">
        <v>1051</v>
      </c>
      <c r="G74" s="13">
        <v>3.5</v>
      </c>
      <c r="H74" s="10">
        <v>0.32400000000000001</v>
      </c>
      <c r="I74" s="10">
        <v>0.32400000000000001</v>
      </c>
      <c r="J74" s="10">
        <v>0</v>
      </c>
      <c r="K74" s="36">
        <f t="shared" si="0"/>
        <v>0.32400000000000001</v>
      </c>
    </row>
    <row r="75" spans="1:11" s="74" customFormat="1" ht="33" customHeight="1" x14ac:dyDescent="0.25">
      <c r="A75" s="140">
        <v>65</v>
      </c>
      <c r="B75" s="49" t="s">
        <v>2333</v>
      </c>
      <c r="C75" s="15" t="s">
        <v>38</v>
      </c>
      <c r="D75" s="7" t="s">
        <v>808</v>
      </c>
      <c r="E75" s="14" t="s">
        <v>1038</v>
      </c>
      <c r="F75" s="13" t="s">
        <v>1051</v>
      </c>
      <c r="G75" s="13">
        <v>3</v>
      </c>
      <c r="H75" s="10">
        <v>8.5000000000000006E-2</v>
      </c>
      <c r="I75" s="10">
        <v>8.5000000000000006E-2</v>
      </c>
      <c r="J75" s="10">
        <v>0</v>
      </c>
      <c r="K75" s="36">
        <f t="shared" ref="K75:K82" si="1">SUM(J75,H75)</f>
        <v>8.5000000000000006E-2</v>
      </c>
    </row>
    <row r="76" spans="1:11" s="74" customFormat="1" ht="35.450000000000003" customHeight="1" x14ac:dyDescent="0.25">
      <c r="A76" s="140">
        <v>66</v>
      </c>
      <c r="B76" s="49" t="s">
        <v>2334</v>
      </c>
      <c r="C76" s="15" t="s">
        <v>38</v>
      </c>
      <c r="D76" s="7" t="s">
        <v>809</v>
      </c>
      <c r="E76" s="14" t="s">
        <v>1038</v>
      </c>
      <c r="F76" s="13" t="s">
        <v>1051</v>
      </c>
      <c r="G76" s="13">
        <v>3.5</v>
      </c>
      <c r="H76" s="10">
        <v>0</v>
      </c>
      <c r="I76" s="10">
        <v>0</v>
      </c>
      <c r="J76" s="10">
        <v>2.94</v>
      </c>
      <c r="K76" s="36">
        <f t="shared" si="1"/>
        <v>2.94</v>
      </c>
    </row>
    <row r="77" spans="1:11" s="74" customFormat="1" ht="34.9" customHeight="1" x14ac:dyDescent="0.25">
      <c r="A77" s="140">
        <v>67</v>
      </c>
      <c r="B77" s="49" t="s">
        <v>2335</v>
      </c>
      <c r="C77" s="15" t="s">
        <v>38</v>
      </c>
      <c r="D77" s="7" t="s">
        <v>810</v>
      </c>
      <c r="E77" s="14" t="s">
        <v>1038</v>
      </c>
      <c r="F77" s="13" t="s">
        <v>1051</v>
      </c>
      <c r="G77" s="13">
        <v>3.5</v>
      </c>
      <c r="H77" s="10">
        <v>0</v>
      </c>
      <c r="I77" s="10">
        <v>0</v>
      </c>
      <c r="J77" s="10">
        <v>6.17</v>
      </c>
      <c r="K77" s="36">
        <f t="shared" si="1"/>
        <v>6.17</v>
      </c>
    </row>
    <row r="78" spans="1:11" s="74" customFormat="1" ht="27" customHeight="1" x14ac:dyDescent="0.25">
      <c r="A78" s="140">
        <v>68</v>
      </c>
      <c r="B78" s="49" t="s">
        <v>2336</v>
      </c>
      <c r="C78" s="15" t="s">
        <v>38</v>
      </c>
      <c r="D78" s="7" t="s">
        <v>811</v>
      </c>
      <c r="E78" s="14" t="s">
        <v>1038</v>
      </c>
      <c r="F78" s="13" t="s">
        <v>1051</v>
      </c>
      <c r="G78" s="13">
        <v>3.5</v>
      </c>
      <c r="H78" s="10">
        <v>0.50900000000000001</v>
      </c>
      <c r="I78" s="10">
        <v>0</v>
      </c>
      <c r="J78" s="10">
        <v>1.0740000000000001</v>
      </c>
      <c r="K78" s="36">
        <f t="shared" si="1"/>
        <v>1.5830000000000002</v>
      </c>
    </row>
    <row r="79" spans="1:11" s="74" customFormat="1" ht="34.15" customHeight="1" x14ac:dyDescent="0.25">
      <c r="A79" s="140">
        <v>69</v>
      </c>
      <c r="B79" s="49" t="s">
        <v>2337</v>
      </c>
      <c r="C79" s="15" t="s">
        <v>38</v>
      </c>
      <c r="D79" s="7" t="s">
        <v>812</v>
      </c>
      <c r="E79" s="14" t="s">
        <v>1038</v>
      </c>
      <c r="F79" s="13" t="s">
        <v>1051</v>
      </c>
      <c r="G79" s="13">
        <v>3.5</v>
      </c>
      <c r="H79" s="10">
        <v>5.3410000000000002</v>
      </c>
      <c r="I79" s="10">
        <v>0</v>
      </c>
      <c r="J79" s="10">
        <v>0</v>
      </c>
      <c r="K79" s="36">
        <f t="shared" si="1"/>
        <v>5.3410000000000002</v>
      </c>
    </row>
    <row r="80" spans="1:11" s="74" customFormat="1" ht="33" customHeight="1" x14ac:dyDescent="0.25">
      <c r="A80" s="140">
        <v>70</v>
      </c>
      <c r="B80" s="49" t="s">
        <v>2338</v>
      </c>
      <c r="C80" s="15" t="s">
        <v>38</v>
      </c>
      <c r="D80" s="7" t="s">
        <v>813</v>
      </c>
      <c r="E80" s="14" t="s">
        <v>1038</v>
      </c>
      <c r="F80" s="13" t="s">
        <v>1051</v>
      </c>
      <c r="G80" s="13">
        <v>3.5</v>
      </c>
      <c r="H80" s="10">
        <v>0</v>
      </c>
      <c r="I80" s="10">
        <v>0</v>
      </c>
      <c r="J80" s="10">
        <v>6.3739999999999997</v>
      </c>
      <c r="K80" s="36">
        <f t="shared" si="1"/>
        <v>6.3739999999999997</v>
      </c>
    </row>
    <row r="81" spans="1:11" s="74" customFormat="1" ht="28.9" customHeight="1" x14ac:dyDescent="0.25">
      <c r="A81" s="140">
        <v>71</v>
      </c>
      <c r="B81" s="49" t="s">
        <v>2339</v>
      </c>
      <c r="C81" s="15" t="s">
        <v>38</v>
      </c>
      <c r="D81" s="7" t="s">
        <v>814</v>
      </c>
      <c r="E81" s="14" t="s">
        <v>1038</v>
      </c>
      <c r="F81" s="13" t="s">
        <v>1051</v>
      </c>
      <c r="G81" s="13">
        <v>3.5</v>
      </c>
      <c r="H81" s="10">
        <v>4.806</v>
      </c>
      <c r="I81" s="10">
        <v>0</v>
      </c>
      <c r="J81" s="10">
        <v>0</v>
      </c>
      <c r="K81" s="36">
        <f t="shared" si="1"/>
        <v>4.806</v>
      </c>
    </row>
    <row r="82" spans="1:11" s="74" customFormat="1" ht="30.6" customHeight="1" x14ac:dyDescent="0.25">
      <c r="A82" s="140">
        <v>72</v>
      </c>
      <c r="B82" s="49" t="s">
        <v>2340</v>
      </c>
      <c r="C82" s="15" t="s">
        <v>38</v>
      </c>
      <c r="D82" s="7" t="s">
        <v>815</v>
      </c>
      <c r="E82" s="14" t="s">
        <v>1038</v>
      </c>
      <c r="F82" s="13" t="s">
        <v>1051</v>
      </c>
      <c r="G82" s="13">
        <v>3.5</v>
      </c>
      <c r="H82" s="10">
        <v>0</v>
      </c>
      <c r="I82" s="10">
        <v>0</v>
      </c>
      <c r="J82" s="10">
        <v>3.9169999999999998</v>
      </c>
      <c r="K82" s="36">
        <f t="shared" si="1"/>
        <v>3.9169999999999998</v>
      </c>
    </row>
  </sheetData>
  <sheetProtection insertRows="0" deleteRows="0" sort="0"/>
  <mergeCells count="9">
    <mergeCell ref="C1:I1"/>
    <mergeCell ref="K7:K8"/>
    <mergeCell ref="F7:F8"/>
    <mergeCell ref="G7:G8"/>
    <mergeCell ref="A7:A8"/>
    <mergeCell ref="B7:B8"/>
    <mergeCell ref="C7:C8"/>
    <mergeCell ref="D7:D8"/>
    <mergeCell ref="E7:E8"/>
  </mergeCells>
  <conditionalFormatting sqref="K11:K82">
    <cfRule type="expression" dxfId="18" priority="2">
      <formula>$H11+$J11&lt;&gt;$K11</formula>
    </cfRule>
  </conditionalFormatting>
  <conditionalFormatting sqref="H10:K10">
    <cfRule type="expression" dxfId="17" priority="234">
      <formula>H$10&lt;&gt;SUM(H$11:H$153)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tabSelected="1" zoomScaleNormal="100" zoomScaleSheetLayoutView="80" workbookViewId="0">
      <selection activeCell="L27" sqref="L27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1.28515625" style="4" customWidth="1"/>
    <col min="5" max="5" width="21.7109375" style="4" customWidth="1"/>
    <col min="6" max="7" width="10.42578125" style="4" customWidth="1"/>
    <col min="8" max="8" width="11.7109375" style="4" customWidth="1"/>
    <col min="9" max="9" width="15.5703125" style="4" customWidth="1"/>
    <col min="10" max="10" width="11" style="4" customWidth="1"/>
    <col min="11" max="11" width="14.5703125" style="4" customWidth="1"/>
    <col min="12" max="16384" width="9.140625" style="4"/>
  </cols>
  <sheetData>
    <row r="1" spans="1:11" ht="28.9" customHeight="1" x14ac:dyDescent="0.25">
      <c r="B1" s="5"/>
      <c r="C1" s="180" t="s">
        <v>3248</v>
      </c>
      <c r="D1" s="180"/>
      <c r="E1" s="180"/>
      <c r="F1" s="180"/>
      <c r="G1" s="180"/>
      <c r="H1" s="180"/>
      <c r="I1" s="180"/>
      <c r="J1" s="5"/>
    </row>
    <row r="2" spans="1:1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x14ac:dyDescent="0.25">
      <c r="C4" s="152"/>
      <c r="D4" s="152"/>
      <c r="E4" s="152"/>
      <c r="F4" s="152"/>
      <c r="G4" s="152"/>
      <c r="H4" s="152"/>
      <c r="I4" s="152"/>
      <c r="K4" s="153" t="s">
        <v>3249</v>
      </c>
    </row>
    <row r="5" spans="1:11" x14ac:dyDescent="0.25">
      <c r="K5" s="153" t="s">
        <v>3250</v>
      </c>
    </row>
    <row r="7" spans="1:11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43"/>
      <c r="I7" s="44" t="s">
        <v>16</v>
      </c>
      <c r="J7" s="149"/>
      <c r="K7" s="178" t="s">
        <v>1029</v>
      </c>
    </row>
    <row r="8" spans="1:11" s="5" customFormat="1" ht="60" customHeight="1" x14ac:dyDescent="0.25">
      <c r="A8" s="186"/>
      <c r="B8" s="186"/>
      <c r="C8" s="186"/>
      <c r="D8" s="186"/>
      <c r="E8" s="186"/>
      <c r="F8" s="186"/>
      <c r="G8" s="183"/>
      <c r="H8" s="150" t="s">
        <v>3</v>
      </c>
      <c r="I8" s="150" t="s">
        <v>24</v>
      </c>
      <c r="J8" s="140" t="s">
        <v>4</v>
      </c>
      <c r="K8" s="186"/>
    </row>
    <row r="9" spans="1:11" s="5" customFormat="1" ht="21.75" customHeight="1" thickBot="1" x14ac:dyDescent="0.3">
      <c r="A9" s="154">
        <v>1</v>
      </c>
      <c r="B9" s="155">
        <v>2</v>
      </c>
      <c r="C9" s="155">
        <v>3</v>
      </c>
      <c r="D9" s="155">
        <v>4</v>
      </c>
      <c r="E9" s="155">
        <v>5</v>
      </c>
      <c r="F9" s="156">
        <v>6</v>
      </c>
      <c r="G9" s="156">
        <v>7</v>
      </c>
      <c r="H9" s="156">
        <v>8</v>
      </c>
      <c r="I9" s="155">
        <v>9</v>
      </c>
      <c r="J9" s="155">
        <v>10</v>
      </c>
      <c r="K9" s="157">
        <v>11</v>
      </c>
    </row>
    <row r="10" spans="1:11" s="5" customFormat="1" ht="29.25" customHeight="1" thickBot="1" x14ac:dyDescent="0.3">
      <c r="A10" s="18" t="s">
        <v>2</v>
      </c>
      <c r="B10" s="19"/>
      <c r="C10" s="19"/>
      <c r="D10" s="19"/>
      <c r="E10" s="19"/>
      <c r="F10" s="20"/>
      <c r="G10" s="20"/>
      <c r="H10" s="21">
        <f>SUM(H11:H283)</f>
        <v>40.231000000000023</v>
      </c>
      <c r="I10" s="21">
        <f>SUM(I11:I283)</f>
        <v>7.2040000000000006</v>
      </c>
      <c r="J10" s="21">
        <f>SUM(J11:J283)</f>
        <v>98.511000000000024</v>
      </c>
      <c r="K10" s="22">
        <f>SUM(K11:K283)</f>
        <v>138.74199999999996</v>
      </c>
    </row>
    <row r="11" spans="1:11" s="5" customFormat="1" ht="33.75" customHeight="1" thickBot="1" x14ac:dyDescent="0.3">
      <c r="A11" s="23">
        <v>1</v>
      </c>
      <c r="B11" s="49" t="s">
        <v>2341</v>
      </c>
      <c r="C11" s="15" t="s">
        <v>39</v>
      </c>
      <c r="D11" s="7" t="s">
        <v>448</v>
      </c>
      <c r="E11" s="14" t="s">
        <v>1039</v>
      </c>
      <c r="F11" s="13" t="s">
        <v>1051</v>
      </c>
      <c r="G11" s="13">
        <v>4</v>
      </c>
      <c r="H11" s="10">
        <v>1.409</v>
      </c>
      <c r="I11" s="10">
        <v>0</v>
      </c>
      <c r="J11" s="10">
        <v>0</v>
      </c>
      <c r="K11" s="22">
        <f>SUM(J11,H11)</f>
        <v>1.409</v>
      </c>
    </row>
    <row r="12" spans="1:11" s="5" customFormat="1" ht="35.25" customHeight="1" thickBot="1" x14ac:dyDescent="0.3">
      <c r="A12" s="23">
        <v>2</v>
      </c>
      <c r="B12" s="49" t="s">
        <v>2342</v>
      </c>
      <c r="C12" s="15" t="s">
        <v>39</v>
      </c>
      <c r="D12" s="7" t="s">
        <v>449</v>
      </c>
      <c r="E12" s="14" t="s">
        <v>1039</v>
      </c>
      <c r="F12" s="13" t="s">
        <v>1051</v>
      </c>
      <c r="G12" s="13">
        <v>3.5</v>
      </c>
      <c r="H12" s="10">
        <v>0.60199999999999998</v>
      </c>
      <c r="I12" s="10">
        <v>0.39500000000000002</v>
      </c>
      <c r="J12" s="10">
        <v>0</v>
      </c>
      <c r="K12" s="22">
        <f t="shared" ref="K12:K80" si="0">SUM(J12,H12)</f>
        <v>0.60199999999999998</v>
      </c>
    </row>
    <row r="13" spans="1:11" s="5" customFormat="1" ht="39.75" customHeight="1" thickBot="1" x14ac:dyDescent="0.3">
      <c r="A13" s="23">
        <v>3</v>
      </c>
      <c r="B13" s="49" t="s">
        <v>2343</v>
      </c>
      <c r="C13" s="15" t="s">
        <v>39</v>
      </c>
      <c r="D13" s="7" t="s">
        <v>450</v>
      </c>
      <c r="E13" s="14" t="s">
        <v>1039</v>
      </c>
      <c r="F13" s="13" t="s">
        <v>1051</v>
      </c>
      <c r="G13" s="13">
        <v>3.5</v>
      </c>
      <c r="H13" s="10">
        <f>1.037+0.076+0.2+0.512</f>
        <v>1.825</v>
      </c>
      <c r="I13" s="10">
        <v>1.113</v>
      </c>
      <c r="J13" s="10">
        <v>0</v>
      </c>
      <c r="K13" s="22">
        <f t="shared" si="0"/>
        <v>1.825</v>
      </c>
    </row>
    <row r="14" spans="1:11" s="5" customFormat="1" ht="32.25" customHeight="1" thickBot="1" x14ac:dyDescent="0.3">
      <c r="A14" s="23">
        <v>4</v>
      </c>
      <c r="B14" s="49" t="s">
        <v>2344</v>
      </c>
      <c r="C14" s="15" t="s">
        <v>39</v>
      </c>
      <c r="D14" s="7" t="s">
        <v>451</v>
      </c>
      <c r="E14" s="14" t="s">
        <v>1039</v>
      </c>
      <c r="F14" s="13" t="s">
        <v>1051</v>
      </c>
      <c r="G14" s="13">
        <v>3.5</v>
      </c>
      <c r="H14" s="10">
        <f>0.832+0.073</f>
        <v>0.90499999999999992</v>
      </c>
      <c r="I14" s="10">
        <v>0.90500000000000003</v>
      </c>
      <c r="J14" s="10">
        <v>0</v>
      </c>
      <c r="K14" s="22">
        <f t="shared" si="0"/>
        <v>0.90499999999999992</v>
      </c>
    </row>
    <row r="15" spans="1:11" s="5" customFormat="1" ht="31.5" customHeight="1" thickBot="1" x14ac:dyDescent="0.3">
      <c r="A15" s="23">
        <v>5</v>
      </c>
      <c r="B15" s="49" t="s">
        <v>2345</v>
      </c>
      <c r="C15" s="15" t="s">
        <v>39</v>
      </c>
      <c r="D15" s="7" t="s">
        <v>452</v>
      </c>
      <c r="E15" s="14" t="s">
        <v>1039</v>
      </c>
      <c r="F15" s="13" t="s">
        <v>1051</v>
      </c>
      <c r="G15" s="13">
        <v>4</v>
      </c>
      <c r="H15" s="10">
        <v>2.2719999999999998</v>
      </c>
      <c r="I15" s="10">
        <v>0</v>
      </c>
      <c r="J15" s="10">
        <v>1.075</v>
      </c>
      <c r="K15" s="22">
        <f t="shared" si="0"/>
        <v>3.3469999999999995</v>
      </c>
    </row>
    <row r="16" spans="1:11" s="5" customFormat="1" ht="33.75" customHeight="1" thickBot="1" x14ac:dyDescent="0.3">
      <c r="A16" s="23">
        <v>6</v>
      </c>
      <c r="B16" s="49" t="s">
        <v>2346</v>
      </c>
      <c r="C16" s="15" t="s">
        <v>39</v>
      </c>
      <c r="D16" s="7" t="s">
        <v>453</v>
      </c>
      <c r="E16" s="14" t="s">
        <v>1039</v>
      </c>
      <c r="F16" s="13" t="s">
        <v>1051</v>
      </c>
      <c r="G16" s="13">
        <v>4</v>
      </c>
      <c r="H16" s="10">
        <f>1.2+3.505</f>
        <v>4.7050000000000001</v>
      </c>
      <c r="I16" s="10">
        <v>0.3</v>
      </c>
      <c r="J16" s="10">
        <v>0</v>
      </c>
      <c r="K16" s="22">
        <f t="shared" si="0"/>
        <v>4.7050000000000001</v>
      </c>
    </row>
    <row r="17" spans="1:11" s="5" customFormat="1" ht="35.25" customHeight="1" thickBot="1" x14ac:dyDescent="0.3">
      <c r="A17" s="23">
        <v>7</v>
      </c>
      <c r="B17" s="49" t="s">
        <v>2347</v>
      </c>
      <c r="C17" s="15" t="s">
        <v>39</v>
      </c>
      <c r="D17" s="7" t="s">
        <v>454</v>
      </c>
      <c r="E17" s="14" t="s">
        <v>1039</v>
      </c>
      <c r="F17" s="13" t="s">
        <v>1051</v>
      </c>
      <c r="G17" s="13">
        <v>4</v>
      </c>
      <c r="H17" s="10">
        <f>0.215+0.131</f>
        <v>0.34599999999999997</v>
      </c>
      <c r="I17" s="10">
        <v>0</v>
      </c>
      <c r="J17" s="10">
        <v>0</v>
      </c>
      <c r="K17" s="22">
        <f t="shared" si="0"/>
        <v>0.34599999999999997</v>
      </c>
    </row>
    <row r="18" spans="1:11" s="5" customFormat="1" ht="36" customHeight="1" thickBot="1" x14ac:dyDescent="0.3">
      <c r="A18" s="23">
        <v>8</v>
      </c>
      <c r="B18" s="49" t="s">
        <v>2348</v>
      </c>
      <c r="C18" s="15" t="s">
        <v>39</v>
      </c>
      <c r="D18" s="7" t="s">
        <v>455</v>
      </c>
      <c r="E18" s="14" t="s">
        <v>1039</v>
      </c>
      <c r="F18" s="13" t="s">
        <v>1051</v>
      </c>
      <c r="G18" s="13">
        <v>4</v>
      </c>
      <c r="H18" s="10">
        <v>0.96099999999999997</v>
      </c>
      <c r="I18" s="10">
        <v>0</v>
      </c>
      <c r="J18" s="10">
        <v>0.47</v>
      </c>
      <c r="K18" s="22">
        <f t="shared" si="0"/>
        <v>1.431</v>
      </c>
    </row>
    <row r="19" spans="1:11" s="5" customFormat="1" ht="36.75" customHeight="1" thickBot="1" x14ac:dyDescent="0.3">
      <c r="A19" s="23">
        <v>9</v>
      </c>
      <c r="B19" s="49" t="s">
        <v>2349</v>
      </c>
      <c r="C19" s="15" t="s">
        <v>39</v>
      </c>
      <c r="D19" s="7" t="s">
        <v>456</v>
      </c>
      <c r="E19" s="14" t="s">
        <v>1039</v>
      </c>
      <c r="F19" s="13" t="s">
        <v>1051</v>
      </c>
      <c r="G19" s="13">
        <v>4</v>
      </c>
      <c r="H19" s="167">
        <v>0</v>
      </c>
      <c r="I19" s="167">
        <v>0</v>
      </c>
      <c r="J19" s="167">
        <v>0.79</v>
      </c>
      <c r="K19" s="168">
        <f t="shared" si="0"/>
        <v>0.79</v>
      </c>
    </row>
    <row r="20" spans="1:11" s="5" customFormat="1" ht="33.75" customHeight="1" thickBot="1" x14ac:dyDescent="0.3">
      <c r="A20" s="23">
        <v>10</v>
      </c>
      <c r="B20" s="49" t="s">
        <v>2350</v>
      </c>
      <c r="C20" s="15" t="s">
        <v>39</v>
      </c>
      <c r="D20" s="7" t="s">
        <v>457</v>
      </c>
      <c r="E20" s="14" t="s">
        <v>1039</v>
      </c>
      <c r="F20" s="13" t="s">
        <v>1051</v>
      </c>
      <c r="G20" s="13">
        <v>4</v>
      </c>
      <c r="H20" s="167">
        <v>0</v>
      </c>
      <c r="I20" s="167">
        <v>0</v>
      </c>
      <c r="J20" s="167">
        <v>0.85299999999999998</v>
      </c>
      <c r="K20" s="168">
        <f t="shared" si="0"/>
        <v>0.85299999999999998</v>
      </c>
    </row>
    <row r="21" spans="1:11" s="5" customFormat="1" ht="33.75" customHeight="1" thickBot="1" x14ac:dyDescent="0.3">
      <c r="A21" s="23">
        <v>11</v>
      </c>
      <c r="B21" s="49" t="s">
        <v>2351</v>
      </c>
      <c r="C21" s="15" t="s">
        <v>39</v>
      </c>
      <c r="D21" s="7" t="s">
        <v>458</v>
      </c>
      <c r="E21" s="14" t="s">
        <v>1039</v>
      </c>
      <c r="F21" s="13" t="s">
        <v>1051</v>
      </c>
      <c r="G21" s="13">
        <v>4</v>
      </c>
      <c r="H21" s="10">
        <v>2.1970000000000001</v>
      </c>
      <c r="I21" s="10">
        <v>0.79300000000000004</v>
      </c>
      <c r="J21" s="10">
        <v>0</v>
      </c>
      <c r="K21" s="22">
        <f t="shared" si="0"/>
        <v>2.1970000000000001</v>
      </c>
    </row>
    <row r="22" spans="1:11" s="5" customFormat="1" ht="35.25" customHeight="1" thickBot="1" x14ac:dyDescent="0.3">
      <c r="A22" s="23">
        <v>12</v>
      </c>
      <c r="B22" s="49" t="s">
        <v>2352</v>
      </c>
      <c r="C22" s="15" t="s">
        <v>39</v>
      </c>
      <c r="D22" s="7" t="s">
        <v>447</v>
      </c>
      <c r="E22" s="14" t="s">
        <v>1039</v>
      </c>
      <c r="F22" s="13" t="s">
        <v>1051</v>
      </c>
      <c r="G22" s="13">
        <v>4.5</v>
      </c>
      <c r="H22" s="10">
        <f>0.532+0.13</f>
        <v>0.66200000000000003</v>
      </c>
      <c r="I22" s="10">
        <v>0.53200000000000003</v>
      </c>
      <c r="J22" s="10">
        <v>0</v>
      </c>
      <c r="K22" s="22">
        <f t="shared" si="0"/>
        <v>0.66200000000000003</v>
      </c>
    </row>
    <row r="23" spans="1:11" s="5" customFormat="1" ht="52.5" customHeight="1" thickBot="1" x14ac:dyDescent="0.3">
      <c r="A23" s="23">
        <v>13</v>
      </c>
      <c r="B23" s="49" t="s">
        <v>2353</v>
      </c>
      <c r="C23" s="15" t="s">
        <v>976</v>
      </c>
      <c r="D23" s="7" t="s">
        <v>459</v>
      </c>
      <c r="E23" s="14" t="s">
        <v>1039</v>
      </c>
      <c r="F23" s="13" t="s">
        <v>1051</v>
      </c>
      <c r="G23" s="13">
        <v>4.5</v>
      </c>
      <c r="H23" s="10">
        <v>0.44400000000000001</v>
      </c>
      <c r="I23" s="10">
        <v>0.44400000000000001</v>
      </c>
      <c r="J23" s="10">
        <v>0</v>
      </c>
      <c r="K23" s="22">
        <f t="shared" si="0"/>
        <v>0.44400000000000001</v>
      </c>
    </row>
    <row r="24" spans="1:11" s="5" customFormat="1" ht="35.25" customHeight="1" thickBot="1" x14ac:dyDescent="0.3">
      <c r="A24" s="23">
        <v>14</v>
      </c>
      <c r="B24" s="49" t="s">
        <v>2354</v>
      </c>
      <c r="C24" s="15" t="s">
        <v>39</v>
      </c>
      <c r="D24" s="7" t="s">
        <v>460</v>
      </c>
      <c r="E24" s="14" t="s">
        <v>1039</v>
      </c>
      <c r="F24" s="13" t="s">
        <v>1051</v>
      </c>
      <c r="G24" s="13">
        <v>4</v>
      </c>
      <c r="H24" s="10">
        <v>0.45800000000000002</v>
      </c>
      <c r="I24" s="10">
        <v>0.45800000000000002</v>
      </c>
      <c r="J24" s="10">
        <v>0</v>
      </c>
      <c r="K24" s="22">
        <f t="shared" si="0"/>
        <v>0.45800000000000002</v>
      </c>
    </row>
    <row r="25" spans="1:11" s="5" customFormat="1" ht="36" customHeight="1" thickBot="1" x14ac:dyDescent="0.3">
      <c r="A25" s="23">
        <v>15</v>
      </c>
      <c r="B25" s="49" t="s">
        <v>2355</v>
      </c>
      <c r="C25" s="15" t="s">
        <v>39</v>
      </c>
      <c r="D25" s="7" t="s">
        <v>461</v>
      </c>
      <c r="E25" s="14" t="s">
        <v>1039</v>
      </c>
      <c r="F25" s="13" t="s">
        <v>1051</v>
      </c>
      <c r="G25" s="13">
        <v>4.5</v>
      </c>
      <c r="H25" s="10">
        <f>0.549+0.518+0.308</f>
        <v>1.3750000000000002</v>
      </c>
      <c r="I25" s="10">
        <f>0.549+0.518</f>
        <v>1.0670000000000002</v>
      </c>
      <c r="J25" s="10">
        <f>0.127+0.526+0.173+1.48-0.518-0.308</f>
        <v>1.48</v>
      </c>
      <c r="K25" s="22">
        <f t="shared" si="0"/>
        <v>2.8550000000000004</v>
      </c>
    </row>
    <row r="26" spans="1:11" s="5" customFormat="1" ht="30.75" customHeight="1" thickBot="1" x14ac:dyDescent="0.3">
      <c r="A26" s="23">
        <v>16</v>
      </c>
      <c r="B26" s="49" t="s">
        <v>2356</v>
      </c>
      <c r="C26" s="15" t="s">
        <v>38</v>
      </c>
      <c r="D26" s="7" t="s">
        <v>462</v>
      </c>
      <c r="E26" s="14" t="s">
        <v>1039</v>
      </c>
      <c r="F26" s="13" t="s">
        <v>1051</v>
      </c>
      <c r="G26" s="13">
        <v>3.5</v>
      </c>
      <c r="H26" s="10">
        <v>0.38500000000000001</v>
      </c>
      <c r="I26" s="10">
        <v>0</v>
      </c>
      <c r="J26" s="10">
        <v>0</v>
      </c>
      <c r="K26" s="22">
        <f t="shared" si="0"/>
        <v>0.38500000000000001</v>
      </c>
    </row>
    <row r="27" spans="1:11" s="5" customFormat="1" ht="33.75" customHeight="1" thickBot="1" x14ac:dyDescent="0.3">
      <c r="A27" s="23">
        <v>17</v>
      </c>
      <c r="B27" s="49" t="s">
        <v>2357</v>
      </c>
      <c r="C27" s="15" t="s">
        <v>38</v>
      </c>
      <c r="D27" s="7" t="s">
        <v>463</v>
      </c>
      <c r="E27" s="14" t="s">
        <v>1039</v>
      </c>
      <c r="F27" s="13" t="s">
        <v>1051</v>
      </c>
      <c r="G27" s="13">
        <v>3.5</v>
      </c>
      <c r="H27" s="10">
        <v>0</v>
      </c>
      <c r="I27" s="10">
        <v>0</v>
      </c>
      <c r="J27" s="10">
        <v>1.81</v>
      </c>
      <c r="K27" s="22">
        <f t="shared" si="0"/>
        <v>1.81</v>
      </c>
    </row>
    <row r="28" spans="1:11" s="5" customFormat="1" ht="33" customHeight="1" x14ac:dyDescent="0.25">
      <c r="A28" s="23">
        <v>18</v>
      </c>
      <c r="B28" s="49" t="s">
        <v>2358</v>
      </c>
      <c r="C28" s="15" t="s">
        <v>38</v>
      </c>
      <c r="D28" s="7" t="s">
        <v>464</v>
      </c>
      <c r="E28" s="14" t="s">
        <v>1039</v>
      </c>
      <c r="F28" s="13" t="s">
        <v>1051</v>
      </c>
      <c r="G28" s="13">
        <v>3.5</v>
      </c>
      <c r="H28" s="10">
        <v>0</v>
      </c>
      <c r="I28" s="10">
        <v>0</v>
      </c>
      <c r="J28" s="10">
        <v>0.252</v>
      </c>
      <c r="K28" s="22">
        <f t="shared" si="0"/>
        <v>0.252</v>
      </c>
    </row>
    <row r="29" spans="1:11" s="5" customFormat="1" ht="35.25" customHeight="1" x14ac:dyDescent="0.25">
      <c r="A29" s="23">
        <v>19</v>
      </c>
      <c r="B29" s="49" t="s">
        <v>2359</v>
      </c>
      <c r="C29" s="15" t="s">
        <v>38</v>
      </c>
      <c r="D29" s="37" t="s">
        <v>465</v>
      </c>
      <c r="E29" s="14" t="s">
        <v>1039</v>
      </c>
      <c r="F29" s="13" t="s">
        <v>1051</v>
      </c>
      <c r="G29" s="13">
        <v>4</v>
      </c>
      <c r="H29" s="10">
        <v>1.155</v>
      </c>
      <c r="I29" s="10">
        <v>0</v>
      </c>
      <c r="J29" s="10">
        <v>0</v>
      </c>
      <c r="K29" s="24">
        <f t="shared" si="0"/>
        <v>1.155</v>
      </c>
    </row>
    <row r="30" spans="1:11" s="5" customFormat="1" ht="35.25" customHeight="1" x14ac:dyDescent="0.25">
      <c r="A30" s="23">
        <v>20</v>
      </c>
      <c r="B30" s="49" t="s">
        <v>2360</v>
      </c>
      <c r="C30" s="15" t="s">
        <v>39</v>
      </c>
      <c r="D30" s="7" t="s">
        <v>467</v>
      </c>
      <c r="E30" s="14" t="s">
        <v>1039</v>
      </c>
      <c r="F30" s="13" t="s">
        <v>1051</v>
      </c>
      <c r="G30" s="13">
        <v>3.5</v>
      </c>
      <c r="H30" s="10">
        <f>0.28+0.277</f>
        <v>0.55700000000000005</v>
      </c>
      <c r="I30" s="10">
        <v>0</v>
      </c>
      <c r="J30" s="10">
        <v>0</v>
      </c>
      <c r="K30" s="24">
        <f t="shared" si="0"/>
        <v>0.55700000000000005</v>
      </c>
    </row>
    <row r="31" spans="1:11" s="5" customFormat="1" ht="39" customHeight="1" x14ac:dyDescent="0.25">
      <c r="A31" s="23">
        <v>21</v>
      </c>
      <c r="B31" s="49" t="s">
        <v>2361</v>
      </c>
      <c r="C31" s="15" t="s">
        <v>39</v>
      </c>
      <c r="D31" s="7" t="s">
        <v>3287</v>
      </c>
      <c r="E31" s="14" t="s">
        <v>1039</v>
      </c>
      <c r="F31" s="13" t="s">
        <v>1051</v>
      </c>
      <c r="G31" s="13">
        <v>3.5</v>
      </c>
      <c r="H31" s="10">
        <v>0.50700000000000001</v>
      </c>
      <c r="I31" s="10">
        <v>0</v>
      </c>
      <c r="J31" s="10">
        <v>0</v>
      </c>
      <c r="K31" s="24">
        <f t="shared" si="0"/>
        <v>0.50700000000000001</v>
      </c>
    </row>
    <row r="32" spans="1:11" s="5" customFormat="1" ht="32.25" customHeight="1" x14ac:dyDescent="0.25">
      <c r="A32" s="23">
        <v>22</v>
      </c>
      <c r="B32" s="49" t="s">
        <v>2362</v>
      </c>
      <c r="C32" s="15" t="s">
        <v>39</v>
      </c>
      <c r="D32" s="7" t="s">
        <v>468</v>
      </c>
      <c r="E32" s="14" t="s">
        <v>1039</v>
      </c>
      <c r="F32" s="13" t="s">
        <v>1051</v>
      </c>
      <c r="G32" s="13">
        <v>3.5</v>
      </c>
      <c r="H32" s="10">
        <v>0.23</v>
      </c>
      <c r="I32" s="10">
        <v>0</v>
      </c>
      <c r="J32" s="10">
        <v>0</v>
      </c>
      <c r="K32" s="24">
        <f t="shared" si="0"/>
        <v>0.23</v>
      </c>
    </row>
    <row r="33" spans="1:11" s="5" customFormat="1" ht="34.5" customHeight="1" x14ac:dyDescent="0.25">
      <c r="A33" s="23">
        <v>23</v>
      </c>
      <c r="B33" s="49" t="s">
        <v>2363</v>
      </c>
      <c r="C33" s="15" t="s">
        <v>39</v>
      </c>
      <c r="D33" s="7" t="s">
        <v>469</v>
      </c>
      <c r="E33" s="14" t="s">
        <v>1039</v>
      </c>
      <c r="F33" s="13" t="s">
        <v>1051</v>
      </c>
      <c r="G33" s="13">
        <v>3.5</v>
      </c>
      <c r="H33" s="10">
        <f>0.33+0.48</f>
        <v>0.81</v>
      </c>
      <c r="I33" s="10">
        <v>0</v>
      </c>
      <c r="J33" s="10">
        <v>0</v>
      </c>
      <c r="K33" s="24">
        <f t="shared" si="0"/>
        <v>0.81</v>
      </c>
    </row>
    <row r="34" spans="1:11" s="5" customFormat="1" ht="28.9" customHeight="1" x14ac:dyDescent="0.25">
      <c r="A34" s="23">
        <v>24</v>
      </c>
      <c r="B34" s="49" t="s">
        <v>2364</v>
      </c>
      <c r="C34" s="15" t="s">
        <v>39</v>
      </c>
      <c r="D34" s="7" t="s">
        <v>471</v>
      </c>
      <c r="E34" s="14" t="s">
        <v>1039</v>
      </c>
      <c r="F34" s="13" t="s">
        <v>1051</v>
      </c>
      <c r="G34" s="13">
        <v>3.5</v>
      </c>
      <c r="H34" s="10">
        <f>0.236+0.262</f>
        <v>0.498</v>
      </c>
      <c r="I34" s="10">
        <v>0</v>
      </c>
      <c r="J34" s="10">
        <v>0</v>
      </c>
      <c r="K34" s="24">
        <f t="shared" si="0"/>
        <v>0.498</v>
      </c>
    </row>
    <row r="35" spans="1:11" s="5" customFormat="1" ht="27.6" customHeight="1" x14ac:dyDescent="0.25">
      <c r="A35" s="23">
        <v>25</v>
      </c>
      <c r="B35" s="49" t="s">
        <v>2365</v>
      </c>
      <c r="C35" s="15" t="s">
        <v>39</v>
      </c>
      <c r="D35" s="7" t="s">
        <v>470</v>
      </c>
      <c r="E35" s="14" t="s">
        <v>1039</v>
      </c>
      <c r="F35" s="13" t="s">
        <v>1051</v>
      </c>
      <c r="G35" s="13">
        <v>3.5</v>
      </c>
      <c r="H35" s="10">
        <f>0.26+0.473</f>
        <v>0.73299999999999998</v>
      </c>
      <c r="I35" s="10">
        <v>0</v>
      </c>
      <c r="J35" s="10">
        <v>0.27500000000000002</v>
      </c>
      <c r="K35" s="24">
        <f t="shared" si="0"/>
        <v>1.008</v>
      </c>
    </row>
    <row r="36" spans="1:11" s="5" customFormat="1" ht="29.45" customHeight="1" x14ac:dyDescent="0.25">
      <c r="A36" s="23">
        <v>26</v>
      </c>
      <c r="B36" s="49" t="s">
        <v>2366</v>
      </c>
      <c r="C36" s="15" t="s">
        <v>39</v>
      </c>
      <c r="D36" s="7" t="s">
        <v>472</v>
      </c>
      <c r="E36" s="14" t="s">
        <v>1039</v>
      </c>
      <c r="F36" s="13" t="s">
        <v>1051</v>
      </c>
      <c r="G36" s="13">
        <v>4</v>
      </c>
      <c r="H36" s="10">
        <f>0.4+0.662</f>
        <v>1.0620000000000001</v>
      </c>
      <c r="I36" s="10">
        <v>0</v>
      </c>
      <c r="J36" s="10">
        <v>0</v>
      </c>
      <c r="K36" s="24">
        <f t="shared" si="0"/>
        <v>1.0620000000000001</v>
      </c>
    </row>
    <row r="37" spans="1:11" s="5" customFormat="1" ht="27.6" customHeight="1" x14ac:dyDescent="0.25">
      <c r="A37" s="23">
        <v>27</v>
      </c>
      <c r="B37" s="49" t="s">
        <v>2367</v>
      </c>
      <c r="C37" s="15" t="s">
        <v>39</v>
      </c>
      <c r="D37" s="7" t="s">
        <v>473</v>
      </c>
      <c r="E37" s="14" t="s">
        <v>1039</v>
      </c>
      <c r="F37" s="13" t="s">
        <v>1051</v>
      </c>
      <c r="G37" s="13">
        <v>4.5</v>
      </c>
      <c r="H37" s="10">
        <v>0.83899999999999997</v>
      </c>
      <c r="I37" s="10">
        <v>0.215</v>
      </c>
      <c r="J37" s="10">
        <v>0</v>
      </c>
      <c r="K37" s="24">
        <f t="shared" si="0"/>
        <v>0.83899999999999997</v>
      </c>
    </row>
    <row r="38" spans="1:11" s="5" customFormat="1" ht="28.15" customHeight="1" x14ac:dyDescent="0.25">
      <c r="A38" s="23">
        <v>28</v>
      </c>
      <c r="B38" s="49" t="s">
        <v>2368</v>
      </c>
      <c r="C38" s="15" t="s">
        <v>39</v>
      </c>
      <c r="D38" s="7" t="s">
        <v>474</v>
      </c>
      <c r="E38" s="14" t="s">
        <v>1039</v>
      </c>
      <c r="F38" s="13" t="s">
        <v>1051</v>
      </c>
      <c r="G38" s="13">
        <v>4</v>
      </c>
      <c r="H38" s="10">
        <f>0.74+0.14</f>
        <v>0.88</v>
      </c>
      <c r="I38" s="10">
        <v>0</v>
      </c>
      <c r="J38" s="10">
        <v>0</v>
      </c>
      <c r="K38" s="24">
        <f t="shared" si="0"/>
        <v>0.88</v>
      </c>
    </row>
    <row r="39" spans="1:11" s="5" customFormat="1" ht="28.9" customHeight="1" x14ac:dyDescent="0.25">
      <c r="A39" s="23">
        <v>29</v>
      </c>
      <c r="B39" s="49" t="s">
        <v>2369</v>
      </c>
      <c r="C39" s="15" t="s">
        <v>976</v>
      </c>
      <c r="D39" s="7" t="s">
        <v>475</v>
      </c>
      <c r="E39" s="14" t="s">
        <v>1039</v>
      </c>
      <c r="F39" s="13" t="s">
        <v>1051</v>
      </c>
      <c r="G39" s="13">
        <v>3.5</v>
      </c>
      <c r="H39" s="10">
        <v>0.32</v>
      </c>
      <c r="I39" s="10">
        <v>0</v>
      </c>
      <c r="J39" s="10">
        <v>0</v>
      </c>
      <c r="K39" s="24">
        <f t="shared" si="0"/>
        <v>0.32</v>
      </c>
    </row>
    <row r="40" spans="1:11" s="5" customFormat="1" ht="29.45" customHeight="1" x14ac:dyDescent="0.25">
      <c r="A40" s="23">
        <v>30</v>
      </c>
      <c r="B40" s="49" t="s">
        <v>2370</v>
      </c>
      <c r="C40" s="15" t="s">
        <v>39</v>
      </c>
      <c r="D40" s="7" t="s">
        <v>476</v>
      </c>
      <c r="E40" s="14" t="s">
        <v>1039</v>
      </c>
      <c r="F40" s="13" t="s">
        <v>1051</v>
      </c>
      <c r="G40" s="13">
        <v>3.5</v>
      </c>
      <c r="H40" s="10">
        <f>0.344+0.34</f>
        <v>0.68399999999999994</v>
      </c>
      <c r="I40" s="10">
        <v>0</v>
      </c>
      <c r="J40" s="10">
        <v>0</v>
      </c>
      <c r="K40" s="24">
        <f t="shared" si="0"/>
        <v>0.68399999999999994</v>
      </c>
    </row>
    <row r="41" spans="1:11" s="5" customFormat="1" ht="30" customHeight="1" x14ac:dyDescent="0.25">
      <c r="A41" s="23">
        <v>31</v>
      </c>
      <c r="B41" s="49" t="s">
        <v>2371</v>
      </c>
      <c r="C41" s="15" t="s">
        <v>39</v>
      </c>
      <c r="D41" s="7" t="s">
        <v>477</v>
      </c>
      <c r="E41" s="14" t="s">
        <v>1039</v>
      </c>
      <c r="F41" s="13" t="s">
        <v>1051</v>
      </c>
      <c r="G41" s="13">
        <v>3.5</v>
      </c>
      <c r="H41" s="10">
        <v>0.27</v>
      </c>
      <c r="I41" s="10">
        <v>0</v>
      </c>
      <c r="J41" s="10">
        <v>0.15</v>
      </c>
      <c r="K41" s="24">
        <f t="shared" si="0"/>
        <v>0.42000000000000004</v>
      </c>
    </row>
    <row r="42" spans="1:11" s="5" customFormat="1" ht="33" customHeight="1" x14ac:dyDescent="0.25">
      <c r="A42" s="23">
        <v>32</v>
      </c>
      <c r="B42" s="49" t="s">
        <v>2372</v>
      </c>
      <c r="C42" s="15" t="s">
        <v>39</v>
      </c>
      <c r="D42" s="7" t="s">
        <v>478</v>
      </c>
      <c r="E42" s="14" t="s">
        <v>1039</v>
      </c>
      <c r="F42" s="13" t="s">
        <v>1051</v>
      </c>
      <c r="G42" s="13">
        <v>4</v>
      </c>
      <c r="H42" s="10">
        <v>0.42</v>
      </c>
      <c r="I42" s="10">
        <v>0</v>
      </c>
      <c r="J42" s="10">
        <v>0</v>
      </c>
      <c r="K42" s="24">
        <f t="shared" si="0"/>
        <v>0.42</v>
      </c>
    </row>
    <row r="43" spans="1:11" s="5" customFormat="1" ht="31.15" customHeight="1" x14ac:dyDescent="0.25">
      <c r="A43" s="23">
        <v>33</v>
      </c>
      <c r="B43" s="49" t="s">
        <v>2373</v>
      </c>
      <c r="C43" s="15" t="s">
        <v>39</v>
      </c>
      <c r="D43" s="7" t="s">
        <v>479</v>
      </c>
      <c r="E43" s="14" t="s">
        <v>1039</v>
      </c>
      <c r="F43" s="13" t="s">
        <v>1051</v>
      </c>
      <c r="G43" s="13">
        <v>3.5</v>
      </c>
      <c r="H43" s="10">
        <f>0.3+0.18</f>
        <v>0.48</v>
      </c>
      <c r="I43" s="10">
        <v>0</v>
      </c>
      <c r="J43" s="10">
        <v>0</v>
      </c>
      <c r="K43" s="24">
        <f t="shared" si="0"/>
        <v>0.48</v>
      </c>
    </row>
    <row r="44" spans="1:11" s="5" customFormat="1" ht="30.6" customHeight="1" x14ac:dyDescent="0.25">
      <c r="A44" s="23">
        <v>34</v>
      </c>
      <c r="B44" s="49" t="s">
        <v>2374</v>
      </c>
      <c r="C44" s="15" t="s">
        <v>39</v>
      </c>
      <c r="D44" s="7" t="s">
        <v>480</v>
      </c>
      <c r="E44" s="14" t="s">
        <v>1039</v>
      </c>
      <c r="F44" s="13" t="s">
        <v>1051</v>
      </c>
      <c r="G44" s="13">
        <v>3.5</v>
      </c>
      <c r="H44" s="10">
        <f>0.325+0.4</f>
        <v>0.72500000000000009</v>
      </c>
      <c r="I44" s="10">
        <v>0</v>
      </c>
      <c r="J44" s="10">
        <v>0</v>
      </c>
      <c r="K44" s="24">
        <f t="shared" si="0"/>
        <v>0.72500000000000009</v>
      </c>
    </row>
    <row r="45" spans="1:11" s="5" customFormat="1" ht="28.15" customHeight="1" x14ac:dyDescent="0.25">
      <c r="A45" s="23">
        <v>35</v>
      </c>
      <c r="B45" s="49" t="s">
        <v>2375</v>
      </c>
      <c r="C45" s="15" t="s">
        <v>39</v>
      </c>
      <c r="D45" s="7" t="s">
        <v>466</v>
      </c>
      <c r="E45" s="14" t="s">
        <v>1039</v>
      </c>
      <c r="F45" s="13" t="s">
        <v>1051</v>
      </c>
      <c r="G45" s="13">
        <v>3.5</v>
      </c>
      <c r="H45" s="10">
        <f>0.43+0.144</f>
        <v>0.57399999999999995</v>
      </c>
      <c r="I45" s="10">
        <v>0</v>
      </c>
      <c r="J45" s="10">
        <v>0</v>
      </c>
      <c r="K45" s="24">
        <f t="shared" si="0"/>
        <v>0.57399999999999995</v>
      </c>
    </row>
    <row r="46" spans="1:11" s="5" customFormat="1" ht="36.75" customHeight="1" x14ac:dyDescent="0.25">
      <c r="A46" s="23">
        <v>36</v>
      </c>
      <c r="B46" s="49" t="s">
        <v>2376</v>
      </c>
      <c r="C46" s="15" t="s">
        <v>38</v>
      </c>
      <c r="D46" s="7" t="s">
        <v>481</v>
      </c>
      <c r="E46" s="14" t="s">
        <v>1039</v>
      </c>
      <c r="F46" s="13" t="s">
        <v>1051</v>
      </c>
      <c r="G46" s="13">
        <v>3.5</v>
      </c>
      <c r="H46" s="10">
        <f>0.167+0.183</f>
        <v>0.35</v>
      </c>
      <c r="I46" s="10">
        <v>0</v>
      </c>
      <c r="J46" s="10">
        <v>0</v>
      </c>
      <c r="K46" s="24">
        <f t="shared" si="0"/>
        <v>0.35</v>
      </c>
    </row>
    <row r="47" spans="1:11" s="5" customFormat="1" ht="35.25" customHeight="1" x14ac:dyDescent="0.25">
      <c r="A47" s="23">
        <v>37</v>
      </c>
      <c r="B47" s="49" t="s">
        <v>2377</v>
      </c>
      <c r="C47" s="15" t="s">
        <v>38</v>
      </c>
      <c r="D47" s="7" t="s">
        <v>482</v>
      </c>
      <c r="E47" s="14" t="s">
        <v>1039</v>
      </c>
      <c r="F47" s="13" t="s">
        <v>1051</v>
      </c>
      <c r="G47" s="13">
        <v>3.5</v>
      </c>
      <c r="H47" s="10">
        <v>0</v>
      </c>
      <c r="I47" s="10">
        <v>0</v>
      </c>
      <c r="J47" s="10">
        <v>1.1819999999999999</v>
      </c>
      <c r="K47" s="24">
        <f t="shared" si="0"/>
        <v>1.1819999999999999</v>
      </c>
    </row>
    <row r="48" spans="1:11" s="5" customFormat="1" ht="38.25" customHeight="1" x14ac:dyDescent="0.25">
      <c r="A48" s="23">
        <v>38</v>
      </c>
      <c r="B48" s="49" t="s">
        <v>2378</v>
      </c>
      <c r="C48" s="15" t="s">
        <v>38</v>
      </c>
      <c r="D48" s="7" t="s">
        <v>1040</v>
      </c>
      <c r="E48" s="14" t="s">
        <v>1039</v>
      </c>
      <c r="F48" s="13" t="s">
        <v>1051</v>
      </c>
      <c r="G48" s="13">
        <v>3.5</v>
      </c>
      <c r="H48" s="10">
        <v>0</v>
      </c>
      <c r="I48" s="10">
        <v>0</v>
      </c>
      <c r="J48" s="10">
        <v>1.2</v>
      </c>
      <c r="K48" s="24">
        <f t="shared" si="0"/>
        <v>1.2</v>
      </c>
    </row>
    <row r="49" spans="1:11" s="5" customFormat="1" ht="45.75" customHeight="1" x14ac:dyDescent="0.25">
      <c r="A49" s="23">
        <v>39</v>
      </c>
      <c r="B49" s="49" t="s">
        <v>2379</v>
      </c>
      <c r="C49" s="15" t="s">
        <v>38</v>
      </c>
      <c r="D49" s="7" t="s">
        <v>483</v>
      </c>
      <c r="E49" s="14" t="s">
        <v>1039</v>
      </c>
      <c r="F49" s="13" t="s">
        <v>1051</v>
      </c>
      <c r="G49" s="13">
        <v>3.5</v>
      </c>
      <c r="H49" s="10">
        <v>0</v>
      </c>
      <c r="I49" s="10">
        <v>0</v>
      </c>
      <c r="J49" s="10">
        <v>0.78400000000000003</v>
      </c>
      <c r="K49" s="24">
        <f t="shared" si="0"/>
        <v>0.78400000000000003</v>
      </c>
    </row>
    <row r="50" spans="1:11" s="5" customFormat="1" ht="27.6" customHeight="1" x14ac:dyDescent="0.25">
      <c r="A50" s="23">
        <v>40</v>
      </c>
      <c r="B50" s="49" t="s">
        <v>2380</v>
      </c>
      <c r="C50" s="15" t="s">
        <v>39</v>
      </c>
      <c r="D50" s="7" t="s">
        <v>484</v>
      </c>
      <c r="E50" s="14" t="s">
        <v>1039</v>
      </c>
      <c r="F50" s="13" t="s">
        <v>1051</v>
      </c>
      <c r="G50" s="13">
        <v>4</v>
      </c>
      <c r="H50" s="10">
        <v>0.35</v>
      </c>
      <c r="I50" s="10">
        <v>0.35</v>
      </c>
      <c r="J50" s="10">
        <v>0</v>
      </c>
      <c r="K50" s="24">
        <f t="shared" si="0"/>
        <v>0.35</v>
      </c>
    </row>
    <row r="51" spans="1:11" s="5" customFormat="1" ht="27.6" customHeight="1" x14ac:dyDescent="0.25">
      <c r="A51" s="23">
        <v>41</v>
      </c>
      <c r="B51" s="49" t="s">
        <v>2381</v>
      </c>
      <c r="C51" s="15" t="s">
        <v>39</v>
      </c>
      <c r="D51" s="7" t="s">
        <v>485</v>
      </c>
      <c r="E51" s="14" t="s">
        <v>1039</v>
      </c>
      <c r="F51" s="13" t="s">
        <v>1051</v>
      </c>
      <c r="G51" s="13">
        <v>3.5</v>
      </c>
      <c r="H51" s="10">
        <v>0.4</v>
      </c>
      <c r="I51" s="10">
        <v>0</v>
      </c>
      <c r="J51" s="10">
        <v>0</v>
      </c>
      <c r="K51" s="24">
        <f t="shared" si="0"/>
        <v>0.4</v>
      </c>
    </row>
    <row r="52" spans="1:11" s="5" customFormat="1" ht="31.15" customHeight="1" x14ac:dyDescent="0.25">
      <c r="A52" s="23">
        <v>42</v>
      </c>
      <c r="B52" s="49" t="s">
        <v>2382</v>
      </c>
      <c r="C52" s="15" t="s">
        <v>39</v>
      </c>
      <c r="D52" s="7" t="s">
        <v>486</v>
      </c>
      <c r="E52" s="14" t="s">
        <v>1039</v>
      </c>
      <c r="F52" s="13" t="s">
        <v>1051</v>
      </c>
      <c r="G52" s="13">
        <v>3.5</v>
      </c>
      <c r="H52" s="10">
        <v>0.254</v>
      </c>
      <c r="I52" s="10">
        <v>0</v>
      </c>
      <c r="J52" s="10">
        <v>0.27500000000000002</v>
      </c>
      <c r="K52" s="24">
        <f t="shared" si="0"/>
        <v>0.52900000000000003</v>
      </c>
    </row>
    <row r="53" spans="1:11" s="5" customFormat="1" ht="30.6" customHeight="1" x14ac:dyDescent="0.25">
      <c r="A53" s="23">
        <v>43</v>
      </c>
      <c r="B53" s="49" t="s">
        <v>2383</v>
      </c>
      <c r="C53" s="15" t="s">
        <v>39</v>
      </c>
      <c r="D53" s="7" t="s">
        <v>487</v>
      </c>
      <c r="E53" s="14" t="s">
        <v>1039</v>
      </c>
      <c r="F53" s="13" t="s">
        <v>1051</v>
      </c>
      <c r="G53" s="13">
        <v>3.5</v>
      </c>
      <c r="H53" s="10">
        <v>0.315</v>
      </c>
      <c r="I53" s="10">
        <v>0</v>
      </c>
      <c r="J53" s="10">
        <v>0</v>
      </c>
      <c r="K53" s="24">
        <f t="shared" si="0"/>
        <v>0.315</v>
      </c>
    </row>
    <row r="54" spans="1:11" s="5" customFormat="1" ht="27.6" customHeight="1" x14ac:dyDescent="0.25">
      <c r="A54" s="23">
        <v>44</v>
      </c>
      <c r="B54" s="49" t="s">
        <v>2384</v>
      </c>
      <c r="C54" s="15" t="s">
        <v>38</v>
      </c>
      <c r="D54" s="7" t="s">
        <v>488</v>
      </c>
      <c r="E54" s="14" t="s">
        <v>1039</v>
      </c>
      <c r="F54" s="13" t="s">
        <v>1051</v>
      </c>
      <c r="G54" s="13">
        <v>3.5</v>
      </c>
      <c r="H54" s="10">
        <v>0</v>
      </c>
      <c r="I54" s="10">
        <v>0</v>
      </c>
      <c r="J54" s="10">
        <v>0.17</v>
      </c>
      <c r="K54" s="24">
        <f t="shared" si="0"/>
        <v>0.17</v>
      </c>
    </row>
    <row r="55" spans="1:11" s="5" customFormat="1" ht="31.9" customHeight="1" x14ac:dyDescent="0.25">
      <c r="A55" s="23">
        <v>45</v>
      </c>
      <c r="B55" s="49" t="s">
        <v>2385</v>
      </c>
      <c r="C55" s="15" t="s">
        <v>39</v>
      </c>
      <c r="D55" s="7" t="s">
        <v>489</v>
      </c>
      <c r="E55" s="14" t="s">
        <v>1039</v>
      </c>
      <c r="F55" s="13" t="s">
        <v>1051</v>
      </c>
      <c r="G55" s="13">
        <v>3.5</v>
      </c>
      <c r="H55" s="10">
        <v>0.622</v>
      </c>
      <c r="I55" s="10">
        <v>0</v>
      </c>
      <c r="J55" s="10">
        <v>1.206</v>
      </c>
      <c r="K55" s="24">
        <f t="shared" si="0"/>
        <v>1.8279999999999998</v>
      </c>
    </row>
    <row r="56" spans="1:11" s="5" customFormat="1" ht="36" customHeight="1" x14ac:dyDescent="0.25">
      <c r="A56" s="23">
        <v>46</v>
      </c>
      <c r="B56" s="49" t="s">
        <v>2386</v>
      </c>
      <c r="C56" s="15" t="s">
        <v>39</v>
      </c>
      <c r="D56" s="7" t="s">
        <v>490</v>
      </c>
      <c r="E56" s="14" t="s">
        <v>1039</v>
      </c>
      <c r="F56" s="13" t="s">
        <v>1051</v>
      </c>
      <c r="G56" s="13">
        <v>3.5</v>
      </c>
      <c r="H56" s="10">
        <v>0.70799999999999996</v>
      </c>
      <c r="I56" s="10">
        <v>0</v>
      </c>
      <c r="J56" s="10">
        <v>0.67600000000000005</v>
      </c>
      <c r="K56" s="24">
        <f t="shared" si="0"/>
        <v>1.3839999999999999</v>
      </c>
    </row>
    <row r="57" spans="1:11" s="5" customFormat="1" ht="35.25" customHeight="1" x14ac:dyDescent="0.25">
      <c r="A57" s="23">
        <v>47</v>
      </c>
      <c r="B57" s="49" t="s">
        <v>2387</v>
      </c>
      <c r="C57" s="15" t="s">
        <v>39</v>
      </c>
      <c r="D57" s="7" t="s">
        <v>491</v>
      </c>
      <c r="E57" s="14" t="s">
        <v>1039</v>
      </c>
      <c r="F57" s="13" t="s">
        <v>1051</v>
      </c>
      <c r="G57" s="13">
        <v>3.5</v>
      </c>
      <c r="H57" s="10">
        <v>0</v>
      </c>
      <c r="I57" s="10">
        <v>0</v>
      </c>
      <c r="J57" s="10">
        <v>1.1000000000000001</v>
      </c>
      <c r="K57" s="24">
        <f t="shared" si="0"/>
        <v>1.1000000000000001</v>
      </c>
    </row>
    <row r="58" spans="1:11" s="5" customFormat="1" ht="35.25" customHeight="1" x14ac:dyDescent="0.25">
      <c r="A58" s="23">
        <v>48</v>
      </c>
      <c r="B58" s="49" t="s">
        <v>2388</v>
      </c>
      <c r="C58" s="15" t="s">
        <v>38</v>
      </c>
      <c r="D58" s="7" t="s">
        <v>492</v>
      </c>
      <c r="E58" s="14" t="s">
        <v>1039</v>
      </c>
      <c r="F58" s="13" t="s">
        <v>1051</v>
      </c>
      <c r="G58" s="13">
        <v>3.5</v>
      </c>
      <c r="H58" s="10">
        <v>0.437</v>
      </c>
      <c r="I58" s="10">
        <v>0</v>
      </c>
      <c r="J58" s="10">
        <v>0</v>
      </c>
      <c r="K58" s="24">
        <f t="shared" si="0"/>
        <v>0.437</v>
      </c>
    </row>
    <row r="59" spans="1:11" s="5" customFormat="1" ht="31.15" customHeight="1" x14ac:dyDescent="0.25">
      <c r="A59" s="23">
        <v>49</v>
      </c>
      <c r="B59" s="49" t="s">
        <v>2389</v>
      </c>
      <c r="C59" s="15" t="s">
        <v>39</v>
      </c>
      <c r="D59" s="7" t="s">
        <v>493</v>
      </c>
      <c r="E59" s="14" t="s">
        <v>1039</v>
      </c>
      <c r="F59" s="13" t="s">
        <v>1051</v>
      </c>
      <c r="G59" s="13">
        <v>3.5</v>
      </c>
      <c r="H59" s="10">
        <v>0.77</v>
      </c>
      <c r="I59" s="10">
        <v>0</v>
      </c>
      <c r="J59" s="10">
        <v>0</v>
      </c>
      <c r="K59" s="24">
        <f t="shared" si="0"/>
        <v>0.77</v>
      </c>
    </row>
    <row r="60" spans="1:11" s="5" customFormat="1" ht="30.6" customHeight="1" x14ac:dyDescent="0.25">
      <c r="A60" s="23">
        <v>50</v>
      </c>
      <c r="B60" s="49" t="s">
        <v>2390</v>
      </c>
      <c r="C60" s="15" t="s">
        <v>38</v>
      </c>
      <c r="D60" s="7" t="s">
        <v>494</v>
      </c>
      <c r="E60" s="14" t="s">
        <v>1039</v>
      </c>
      <c r="F60" s="13" t="s">
        <v>1051</v>
      </c>
      <c r="G60" s="13">
        <v>3.5</v>
      </c>
      <c r="H60" s="10">
        <v>0</v>
      </c>
      <c r="I60" s="10">
        <v>0</v>
      </c>
      <c r="J60" s="10">
        <v>0.41699999999999998</v>
      </c>
      <c r="K60" s="24">
        <f t="shared" si="0"/>
        <v>0.41699999999999998</v>
      </c>
    </row>
    <row r="61" spans="1:11" s="5" customFormat="1" ht="33" customHeight="1" x14ac:dyDescent="0.25">
      <c r="A61" s="23">
        <v>51</v>
      </c>
      <c r="B61" s="49" t="s">
        <v>2391</v>
      </c>
      <c r="C61" s="15" t="s">
        <v>38</v>
      </c>
      <c r="D61" s="7" t="s">
        <v>495</v>
      </c>
      <c r="E61" s="14" t="s">
        <v>1039</v>
      </c>
      <c r="F61" s="13" t="s">
        <v>1051</v>
      </c>
      <c r="G61" s="13">
        <v>4</v>
      </c>
      <c r="H61" s="10">
        <f>1.57+0.4</f>
        <v>1.9700000000000002</v>
      </c>
      <c r="I61" s="10">
        <v>0</v>
      </c>
      <c r="J61" s="10">
        <v>0</v>
      </c>
      <c r="K61" s="24">
        <f t="shared" si="0"/>
        <v>1.9700000000000002</v>
      </c>
    </row>
    <row r="62" spans="1:11" s="5" customFormat="1" ht="37.5" customHeight="1" x14ac:dyDescent="0.25">
      <c r="A62" s="23">
        <v>52</v>
      </c>
      <c r="B62" s="49" t="s">
        <v>2392</v>
      </c>
      <c r="C62" s="15" t="s">
        <v>38</v>
      </c>
      <c r="D62" s="7" t="s">
        <v>496</v>
      </c>
      <c r="E62" s="14" t="s">
        <v>1039</v>
      </c>
      <c r="F62" s="13" t="s">
        <v>1051</v>
      </c>
      <c r="G62" s="13">
        <v>3.5</v>
      </c>
      <c r="H62" s="10">
        <v>0</v>
      </c>
      <c r="I62" s="10">
        <v>0</v>
      </c>
      <c r="J62" s="10">
        <v>3.5430000000000001</v>
      </c>
      <c r="K62" s="24">
        <f t="shared" si="0"/>
        <v>3.5430000000000001</v>
      </c>
    </row>
    <row r="63" spans="1:11" s="5" customFormat="1" ht="34.5" customHeight="1" x14ac:dyDescent="0.25">
      <c r="A63" s="23">
        <v>53</v>
      </c>
      <c r="B63" s="49" t="s">
        <v>2393</v>
      </c>
      <c r="C63" s="15" t="s">
        <v>38</v>
      </c>
      <c r="D63" s="7" t="s">
        <v>497</v>
      </c>
      <c r="E63" s="14" t="s">
        <v>1039</v>
      </c>
      <c r="F63" s="13" t="s">
        <v>1051</v>
      </c>
      <c r="G63" s="13">
        <v>3.5</v>
      </c>
      <c r="H63" s="10">
        <v>0</v>
      </c>
      <c r="I63" s="10">
        <v>0</v>
      </c>
      <c r="J63" s="10">
        <v>3.6259999999999999</v>
      </c>
      <c r="K63" s="24">
        <f t="shared" si="0"/>
        <v>3.6259999999999999</v>
      </c>
    </row>
    <row r="64" spans="1:11" s="5" customFormat="1" ht="27" customHeight="1" x14ac:dyDescent="0.25">
      <c r="A64" s="23">
        <v>54</v>
      </c>
      <c r="B64" s="49" t="s">
        <v>2394</v>
      </c>
      <c r="C64" s="15" t="s">
        <v>38</v>
      </c>
      <c r="D64" s="7" t="s">
        <v>498</v>
      </c>
      <c r="E64" s="14" t="s">
        <v>1039</v>
      </c>
      <c r="F64" s="13" t="s">
        <v>1051</v>
      </c>
      <c r="G64" s="13">
        <v>4</v>
      </c>
      <c r="H64" s="10">
        <v>0</v>
      </c>
      <c r="I64" s="10">
        <v>0</v>
      </c>
      <c r="J64" s="10">
        <v>3.11</v>
      </c>
      <c r="K64" s="24">
        <f t="shared" si="0"/>
        <v>3.11</v>
      </c>
    </row>
    <row r="65" spans="1:11" s="5" customFormat="1" ht="26.45" customHeight="1" x14ac:dyDescent="0.25">
      <c r="A65" s="23">
        <v>55</v>
      </c>
      <c r="B65" s="49" t="s">
        <v>2395</v>
      </c>
      <c r="C65" s="15" t="s">
        <v>38</v>
      </c>
      <c r="D65" s="7" t="s">
        <v>499</v>
      </c>
      <c r="E65" s="14" t="s">
        <v>1039</v>
      </c>
      <c r="F65" s="13" t="s">
        <v>1051</v>
      </c>
      <c r="G65" s="13">
        <v>4</v>
      </c>
      <c r="H65" s="10">
        <v>0</v>
      </c>
      <c r="I65" s="10">
        <v>0</v>
      </c>
      <c r="J65" s="10">
        <v>1.92</v>
      </c>
      <c r="K65" s="24">
        <f t="shared" si="0"/>
        <v>1.92</v>
      </c>
    </row>
    <row r="66" spans="1:11" s="5" customFormat="1" ht="28.15" customHeight="1" x14ac:dyDescent="0.25">
      <c r="A66" s="23">
        <v>56</v>
      </c>
      <c r="B66" s="49" t="s">
        <v>2396</v>
      </c>
      <c r="C66" s="15" t="s">
        <v>38</v>
      </c>
      <c r="D66" s="7" t="s">
        <v>500</v>
      </c>
      <c r="E66" s="14" t="s">
        <v>1039</v>
      </c>
      <c r="F66" s="13" t="s">
        <v>1051</v>
      </c>
      <c r="G66" s="13">
        <v>4</v>
      </c>
      <c r="H66" s="10">
        <v>0</v>
      </c>
      <c r="I66" s="10">
        <v>0</v>
      </c>
      <c r="J66" s="10">
        <v>7.0579999999999998</v>
      </c>
      <c r="K66" s="24">
        <f t="shared" si="0"/>
        <v>7.0579999999999998</v>
      </c>
    </row>
    <row r="67" spans="1:11" s="5" customFormat="1" ht="31.5" customHeight="1" x14ac:dyDescent="0.25">
      <c r="A67" s="23">
        <v>57</v>
      </c>
      <c r="B67" s="49" t="s">
        <v>2397</v>
      </c>
      <c r="C67" s="15" t="s">
        <v>38</v>
      </c>
      <c r="D67" s="7" t="s">
        <v>501</v>
      </c>
      <c r="E67" s="14" t="s">
        <v>1039</v>
      </c>
      <c r="F67" s="13" t="s">
        <v>1051</v>
      </c>
      <c r="G67" s="13">
        <v>3.5</v>
      </c>
      <c r="H67" s="10">
        <v>0</v>
      </c>
      <c r="I67" s="10">
        <v>0</v>
      </c>
      <c r="J67" s="10">
        <v>0.95699999999999996</v>
      </c>
      <c r="K67" s="24">
        <f t="shared" si="0"/>
        <v>0.95699999999999996</v>
      </c>
    </row>
    <row r="68" spans="1:11" s="5" customFormat="1" ht="28.15" customHeight="1" x14ac:dyDescent="0.25">
      <c r="A68" s="23">
        <v>58</v>
      </c>
      <c r="B68" s="49" t="s">
        <v>2398</v>
      </c>
      <c r="C68" s="15" t="s">
        <v>38</v>
      </c>
      <c r="D68" s="7" t="s">
        <v>502</v>
      </c>
      <c r="E68" s="14" t="s">
        <v>1039</v>
      </c>
      <c r="F68" s="13" t="s">
        <v>1051</v>
      </c>
      <c r="G68" s="13">
        <v>3.5</v>
      </c>
      <c r="H68" s="10">
        <v>0</v>
      </c>
      <c r="I68" s="10">
        <v>0</v>
      </c>
      <c r="J68" s="10">
        <v>3</v>
      </c>
      <c r="K68" s="24">
        <f t="shared" si="0"/>
        <v>3</v>
      </c>
    </row>
    <row r="69" spans="1:11" s="5" customFormat="1" ht="30.75" customHeight="1" x14ac:dyDescent="0.25">
      <c r="A69" s="23">
        <v>59</v>
      </c>
      <c r="B69" s="49" t="s">
        <v>2399</v>
      </c>
      <c r="C69" s="15" t="s">
        <v>38</v>
      </c>
      <c r="D69" s="7" t="s">
        <v>503</v>
      </c>
      <c r="E69" s="14" t="s">
        <v>1039</v>
      </c>
      <c r="F69" s="13" t="s">
        <v>1051</v>
      </c>
      <c r="G69" s="13">
        <v>3.5</v>
      </c>
      <c r="H69" s="10">
        <v>0</v>
      </c>
      <c r="I69" s="10">
        <v>0</v>
      </c>
      <c r="J69" s="10">
        <v>5.0640000000000001</v>
      </c>
      <c r="K69" s="24">
        <f t="shared" si="0"/>
        <v>5.0640000000000001</v>
      </c>
    </row>
    <row r="70" spans="1:11" s="5" customFormat="1" ht="25.9" customHeight="1" x14ac:dyDescent="0.25">
      <c r="A70" s="23">
        <v>60</v>
      </c>
      <c r="B70" s="49" t="s">
        <v>2400</v>
      </c>
      <c r="C70" s="15" t="s">
        <v>38</v>
      </c>
      <c r="D70" s="7" t="s">
        <v>504</v>
      </c>
      <c r="E70" s="14" t="s">
        <v>1039</v>
      </c>
      <c r="F70" s="13" t="s">
        <v>1051</v>
      </c>
      <c r="G70" s="13">
        <v>3.5</v>
      </c>
      <c r="H70" s="10">
        <v>0</v>
      </c>
      <c r="I70" s="10">
        <v>0</v>
      </c>
      <c r="J70" s="10">
        <v>7.82</v>
      </c>
      <c r="K70" s="24">
        <f t="shared" si="0"/>
        <v>7.82</v>
      </c>
    </row>
    <row r="71" spans="1:11" s="5" customFormat="1" ht="29.45" customHeight="1" x14ac:dyDescent="0.25">
      <c r="A71" s="23">
        <v>61</v>
      </c>
      <c r="B71" s="49" t="s">
        <v>2401</v>
      </c>
      <c r="C71" s="15" t="s">
        <v>38</v>
      </c>
      <c r="D71" s="7" t="s">
        <v>505</v>
      </c>
      <c r="E71" s="14" t="s">
        <v>1039</v>
      </c>
      <c r="F71" s="13" t="s">
        <v>1051</v>
      </c>
      <c r="G71" s="13">
        <v>3.5</v>
      </c>
      <c r="H71" s="10">
        <v>4.133</v>
      </c>
      <c r="I71" s="10">
        <v>0</v>
      </c>
      <c r="J71" s="10">
        <v>0</v>
      </c>
      <c r="K71" s="24">
        <f t="shared" si="0"/>
        <v>4.133</v>
      </c>
    </row>
    <row r="72" spans="1:11" s="5" customFormat="1" ht="34.5" customHeight="1" x14ac:dyDescent="0.25">
      <c r="A72" s="23">
        <v>62</v>
      </c>
      <c r="B72" s="49" t="s">
        <v>2402</v>
      </c>
      <c r="C72" s="15" t="s">
        <v>38</v>
      </c>
      <c r="D72" s="7" t="s">
        <v>506</v>
      </c>
      <c r="E72" s="14" t="s">
        <v>1039</v>
      </c>
      <c r="F72" s="13" t="s">
        <v>1051</v>
      </c>
      <c r="G72" s="13">
        <v>3.5</v>
      </c>
      <c r="H72" s="10">
        <v>0</v>
      </c>
      <c r="I72" s="10">
        <v>0</v>
      </c>
      <c r="J72" s="10">
        <v>8.99</v>
      </c>
      <c r="K72" s="24">
        <f t="shared" si="0"/>
        <v>8.99</v>
      </c>
    </row>
    <row r="73" spans="1:11" s="5" customFormat="1" ht="35.25" customHeight="1" x14ac:dyDescent="0.25">
      <c r="A73" s="23">
        <v>63</v>
      </c>
      <c r="B73" s="49" t="s">
        <v>2403</v>
      </c>
      <c r="C73" s="15" t="s">
        <v>38</v>
      </c>
      <c r="D73" s="7" t="s">
        <v>507</v>
      </c>
      <c r="E73" s="14" t="s">
        <v>1039</v>
      </c>
      <c r="F73" s="13" t="s">
        <v>1051</v>
      </c>
      <c r="G73" s="13">
        <v>3.5</v>
      </c>
      <c r="H73" s="10">
        <v>0</v>
      </c>
      <c r="I73" s="10">
        <v>0</v>
      </c>
      <c r="J73" s="10">
        <v>4.2519999999999998</v>
      </c>
      <c r="K73" s="24">
        <f t="shared" si="0"/>
        <v>4.2519999999999998</v>
      </c>
    </row>
    <row r="74" spans="1:11" s="5" customFormat="1" ht="31.15" customHeight="1" x14ac:dyDescent="0.25">
      <c r="A74" s="23">
        <v>64</v>
      </c>
      <c r="B74" s="49" t="s">
        <v>2404</v>
      </c>
      <c r="C74" s="15" t="s">
        <v>38</v>
      </c>
      <c r="D74" s="7" t="s">
        <v>508</v>
      </c>
      <c r="E74" s="14" t="s">
        <v>1039</v>
      </c>
      <c r="F74" s="13" t="s">
        <v>1051</v>
      </c>
      <c r="G74" s="13">
        <v>3.5</v>
      </c>
      <c r="H74" s="10">
        <v>0</v>
      </c>
      <c r="I74" s="10">
        <v>0</v>
      </c>
      <c r="J74" s="10">
        <v>6.58</v>
      </c>
      <c r="K74" s="24">
        <f t="shared" si="0"/>
        <v>6.58</v>
      </c>
    </row>
    <row r="75" spans="1:11" s="5" customFormat="1" ht="32.25" customHeight="1" x14ac:dyDescent="0.25">
      <c r="A75" s="23">
        <v>65</v>
      </c>
      <c r="B75" s="49" t="s">
        <v>2405</v>
      </c>
      <c r="C75" s="15" t="s">
        <v>38</v>
      </c>
      <c r="D75" s="7" t="s">
        <v>509</v>
      </c>
      <c r="E75" s="14" t="s">
        <v>1039</v>
      </c>
      <c r="F75" s="13" t="s">
        <v>1051</v>
      </c>
      <c r="G75" s="13">
        <v>3.5</v>
      </c>
      <c r="H75" s="10">
        <v>0</v>
      </c>
      <c r="I75" s="10">
        <v>0</v>
      </c>
      <c r="J75" s="10">
        <v>8.4730000000000008</v>
      </c>
      <c r="K75" s="24">
        <f t="shared" si="0"/>
        <v>8.4730000000000008</v>
      </c>
    </row>
    <row r="76" spans="1:11" s="5" customFormat="1" ht="33" customHeight="1" x14ac:dyDescent="0.25">
      <c r="A76" s="23">
        <v>66</v>
      </c>
      <c r="B76" s="49" t="s">
        <v>2406</v>
      </c>
      <c r="C76" s="15" t="s">
        <v>38</v>
      </c>
      <c r="D76" s="7" t="s">
        <v>510</v>
      </c>
      <c r="E76" s="14" t="s">
        <v>1039</v>
      </c>
      <c r="F76" s="13" t="s">
        <v>1051</v>
      </c>
      <c r="G76" s="13">
        <v>3.5</v>
      </c>
      <c r="H76" s="10">
        <v>0</v>
      </c>
      <c r="I76" s="10">
        <v>0</v>
      </c>
      <c r="J76" s="10">
        <v>6.03</v>
      </c>
      <c r="K76" s="24">
        <f t="shared" si="0"/>
        <v>6.03</v>
      </c>
    </row>
    <row r="77" spans="1:11" s="5" customFormat="1" ht="34.5" customHeight="1" x14ac:dyDescent="0.25">
      <c r="A77" s="23">
        <v>67</v>
      </c>
      <c r="B77" s="49" t="s">
        <v>2407</v>
      </c>
      <c r="C77" s="15" t="s">
        <v>38</v>
      </c>
      <c r="D77" s="7" t="s">
        <v>511</v>
      </c>
      <c r="E77" s="14" t="s">
        <v>1039</v>
      </c>
      <c r="F77" s="13" t="s">
        <v>1051</v>
      </c>
      <c r="G77" s="13">
        <v>4</v>
      </c>
      <c r="H77" s="10">
        <v>0.2</v>
      </c>
      <c r="I77" s="10">
        <v>0.2</v>
      </c>
      <c r="J77" s="10">
        <v>0</v>
      </c>
      <c r="K77" s="24">
        <f t="shared" si="0"/>
        <v>0.2</v>
      </c>
    </row>
    <row r="78" spans="1:11" s="5" customFormat="1" ht="34.5" customHeight="1" x14ac:dyDescent="0.25">
      <c r="A78" s="23">
        <v>68</v>
      </c>
      <c r="B78" s="49" t="s">
        <v>2408</v>
      </c>
      <c r="C78" s="15" t="s">
        <v>38</v>
      </c>
      <c r="D78" s="7" t="s">
        <v>512</v>
      </c>
      <c r="E78" s="14" t="s">
        <v>1039</v>
      </c>
      <c r="F78" s="13" t="s">
        <v>1051</v>
      </c>
      <c r="G78" s="13">
        <v>4</v>
      </c>
      <c r="H78" s="10">
        <v>0.432</v>
      </c>
      <c r="I78" s="10">
        <v>0.432</v>
      </c>
      <c r="J78" s="10">
        <v>0</v>
      </c>
      <c r="K78" s="24">
        <f t="shared" si="0"/>
        <v>0.432</v>
      </c>
    </row>
    <row r="79" spans="1:11" s="5" customFormat="1" ht="34.15" customHeight="1" x14ac:dyDescent="0.25">
      <c r="A79" s="23">
        <v>69</v>
      </c>
      <c r="B79" s="49" t="s">
        <v>2409</v>
      </c>
      <c r="C79" s="15" t="s">
        <v>38</v>
      </c>
      <c r="D79" s="7" t="s">
        <v>506</v>
      </c>
      <c r="E79" s="14" t="s">
        <v>1039</v>
      </c>
      <c r="F79" s="13" t="s">
        <v>1051</v>
      </c>
      <c r="G79" s="13">
        <v>3.5</v>
      </c>
      <c r="H79" s="10">
        <v>0</v>
      </c>
      <c r="I79" s="10">
        <v>0</v>
      </c>
      <c r="J79" s="10">
        <v>5.5179999999999998</v>
      </c>
      <c r="K79" s="24">
        <f t="shared" si="0"/>
        <v>5.5179999999999998</v>
      </c>
    </row>
    <row r="80" spans="1:11" s="5" customFormat="1" ht="31.9" customHeight="1" x14ac:dyDescent="0.25">
      <c r="A80" s="23">
        <v>70</v>
      </c>
      <c r="B80" s="49" t="s">
        <v>2410</v>
      </c>
      <c r="C80" s="15" t="s">
        <v>38</v>
      </c>
      <c r="D80" s="7" t="s">
        <v>507</v>
      </c>
      <c r="E80" s="14" t="s">
        <v>1039</v>
      </c>
      <c r="F80" s="13" t="s">
        <v>1051</v>
      </c>
      <c r="G80" s="13">
        <v>3.5</v>
      </c>
      <c r="H80" s="10">
        <v>0</v>
      </c>
      <c r="I80" s="10">
        <v>0</v>
      </c>
      <c r="J80" s="10">
        <v>4.1950000000000003</v>
      </c>
      <c r="K80" s="24">
        <f t="shared" si="0"/>
        <v>4.1950000000000003</v>
      </c>
    </row>
    <row r="81" spans="1:11" s="5" customFormat="1" ht="36" customHeight="1" x14ac:dyDescent="0.25">
      <c r="A81" s="23">
        <v>71</v>
      </c>
      <c r="B81" s="49" t="s">
        <v>2411</v>
      </c>
      <c r="C81" s="15" t="s">
        <v>38</v>
      </c>
      <c r="D81" s="7" t="s">
        <v>1630</v>
      </c>
      <c r="E81" s="14" t="s">
        <v>1039</v>
      </c>
      <c r="F81" s="13" t="s">
        <v>1051</v>
      </c>
      <c r="G81" s="13">
        <v>3.5</v>
      </c>
      <c r="H81" s="10">
        <v>0</v>
      </c>
      <c r="I81" s="10">
        <v>0</v>
      </c>
      <c r="J81" s="10">
        <v>2.4</v>
      </c>
      <c r="K81" s="24">
        <f t="shared" ref="K81:K82" si="1">SUM(J81,H81)</f>
        <v>2.4</v>
      </c>
    </row>
    <row r="82" spans="1:11" s="5" customFormat="1" ht="48" customHeight="1" x14ac:dyDescent="0.25">
      <c r="A82" s="23">
        <v>72</v>
      </c>
      <c r="B82" s="49" t="s">
        <v>2412</v>
      </c>
      <c r="C82" s="15" t="s">
        <v>38</v>
      </c>
      <c r="D82" s="7" t="s">
        <v>1631</v>
      </c>
      <c r="E82" s="14" t="s">
        <v>1039</v>
      </c>
      <c r="F82" s="13" t="s">
        <v>1051</v>
      </c>
      <c r="G82" s="13">
        <v>3.5</v>
      </c>
      <c r="H82" s="10">
        <v>0</v>
      </c>
      <c r="I82" s="10">
        <v>0</v>
      </c>
      <c r="J82" s="10">
        <v>1.81</v>
      </c>
      <c r="K82" s="24">
        <f t="shared" si="1"/>
        <v>1.81</v>
      </c>
    </row>
  </sheetData>
  <sheetProtection insertRows="0" deleteRows="0" sort="0"/>
  <mergeCells count="9">
    <mergeCell ref="C1:I1"/>
    <mergeCell ref="K7:K8"/>
    <mergeCell ref="F7:F8"/>
    <mergeCell ref="G7:G8"/>
    <mergeCell ref="A7:A8"/>
    <mergeCell ref="B7:B8"/>
    <mergeCell ref="C7:C8"/>
    <mergeCell ref="D7:D8"/>
    <mergeCell ref="E7:E8"/>
  </mergeCells>
  <conditionalFormatting sqref="K11:K82">
    <cfRule type="expression" dxfId="16" priority="2">
      <formula>$H11+$J11&lt;&gt;$K11</formula>
    </cfRule>
  </conditionalFormatting>
  <conditionalFormatting sqref="K11:K28 H10:K10">
    <cfRule type="expression" dxfId="15" priority="236">
      <formula>H$10&lt;&gt;SUM(H$11:H$283)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37" zoomScaleNormal="100" zoomScaleSheetLayoutView="80" workbookViewId="0">
      <selection activeCell="J41" sqref="J41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2.140625" style="4" customWidth="1"/>
    <col min="5" max="5" width="20.28515625" style="4" customWidth="1"/>
    <col min="6" max="7" width="10.42578125" style="4" customWidth="1"/>
    <col min="8" max="8" width="12.28515625" style="4" customWidth="1"/>
    <col min="9" max="9" width="15.5703125" style="4" customWidth="1"/>
    <col min="10" max="10" width="10.7109375" style="4" customWidth="1"/>
    <col min="11" max="11" width="15.140625" style="4" customWidth="1"/>
    <col min="12" max="16384" width="9.140625" style="4"/>
  </cols>
  <sheetData>
    <row r="1" spans="1:11" ht="28.9" customHeight="1" x14ac:dyDescent="0.25">
      <c r="B1" s="5"/>
      <c r="C1" s="180" t="s">
        <v>3254</v>
      </c>
      <c r="D1" s="180"/>
      <c r="E1" s="180"/>
      <c r="F1" s="180"/>
      <c r="G1" s="180"/>
      <c r="H1" s="180"/>
      <c r="I1" s="180"/>
      <c r="J1" s="5"/>
    </row>
    <row r="2" spans="1:1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x14ac:dyDescent="0.25">
      <c r="C4" s="152"/>
      <c r="D4" s="152"/>
      <c r="E4" s="152"/>
      <c r="F4" s="152"/>
      <c r="G4" s="152"/>
      <c r="H4" s="152"/>
      <c r="I4" s="152"/>
      <c r="K4" s="153" t="s">
        <v>3255</v>
      </c>
    </row>
    <row r="5" spans="1:11" x14ac:dyDescent="0.25">
      <c r="K5" s="153" t="s">
        <v>3256</v>
      </c>
    </row>
    <row r="7" spans="1:11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43"/>
      <c r="I7" s="44" t="s">
        <v>16</v>
      </c>
      <c r="J7" s="52"/>
      <c r="K7" s="178" t="s">
        <v>1029</v>
      </c>
    </row>
    <row r="8" spans="1:11" s="5" customFormat="1" ht="60" customHeight="1" thickBot="1" x14ac:dyDescent="0.3">
      <c r="A8" s="184"/>
      <c r="B8" s="184"/>
      <c r="C8" s="184"/>
      <c r="D8" s="184"/>
      <c r="E8" s="184"/>
      <c r="F8" s="184"/>
      <c r="G8" s="179"/>
      <c r="H8" s="25" t="s">
        <v>3</v>
      </c>
      <c r="I8" s="25" t="s">
        <v>24</v>
      </c>
      <c r="J8" s="34" t="s">
        <v>4</v>
      </c>
      <c r="K8" s="184"/>
    </row>
    <row r="9" spans="1:11" s="5" customFormat="1" ht="21.75" customHeight="1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8">
        <v>9</v>
      </c>
      <c r="J9" s="28">
        <v>10</v>
      </c>
      <c r="K9" s="30">
        <v>11</v>
      </c>
    </row>
    <row r="10" spans="1:11" s="5" customFormat="1" ht="29.25" customHeight="1" x14ac:dyDescent="0.25">
      <c r="A10" s="18" t="s">
        <v>2</v>
      </c>
      <c r="B10" s="19"/>
      <c r="C10" s="19"/>
      <c r="D10" s="19"/>
      <c r="E10" s="19"/>
      <c r="F10" s="20"/>
      <c r="G10" s="20"/>
      <c r="H10" s="21">
        <f>SUM(H11:H277)</f>
        <v>16.583000000000002</v>
      </c>
      <c r="I10" s="21">
        <f>SUM(I11:I277)</f>
        <v>6.0120000000000005</v>
      </c>
      <c r="J10" s="21">
        <f>SUM(J11:J277)</f>
        <v>33.498000000000005</v>
      </c>
      <c r="K10" s="22">
        <f>SUM(K11:K277)</f>
        <v>50.08100000000001</v>
      </c>
    </row>
    <row r="11" spans="1:11" s="5" customFormat="1" ht="30.6" customHeight="1" x14ac:dyDescent="0.25">
      <c r="A11" s="23">
        <v>1</v>
      </c>
      <c r="B11" s="49" t="s">
        <v>2413</v>
      </c>
      <c r="C11" s="15" t="s">
        <v>39</v>
      </c>
      <c r="D11" s="7" t="s">
        <v>560</v>
      </c>
      <c r="E11" s="14" t="s">
        <v>1041</v>
      </c>
      <c r="F11" s="13" t="s">
        <v>1051</v>
      </c>
      <c r="G11" s="13">
        <v>4.5</v>
      </c>
      <c r="H11" s="10">
        <f>0.517+0.624</f>
        <v>1.141</v>
      </c>
      <c r="I11" s="10">
        <v>0.51700000000000002</v>
      </c>
      <c r="J11" s="10">
        <f>0.228+0.273</f>
        <v>0.501</v>
      </c>
      <c r="K11" s="24">
        <f>J11+H11</f>
        <v>1.6419999999999999</v>
      </c>
    </row>
    <row r="12" spans="1:11" s="5" customFormat="1" ht="35.25" customHeight="1" x14ac:dyDescent="0.25">
      <c r="A12" s="23">
        <v>2</v>
      </c>
      <c r="B12" s="49" t="s">
        <v>2414</v>
      </c>
      <c r="C12" s="15" t="s">
        <v>39</v>
      </c>
      <c r="D12" s="7" t="s">
        <v>561</v>
      </c>
      <c r="E12" s="14" t="s">
        <v>1041</v>
      </c>
      <c r="F12" s="13" t="s">
        <v>1051</v>
      </c>
      <c r="G12" s="13">
        <v>3</v>
      </c>
      <c r="H12" s="10">
        <v>0.51700000000000002</v>
      </c>
      <c r="I12" s="10">
        <v>0.51700000000000002</v>
      </c>
      <c r="J12" s="10">
        <v>0</v>
      </c>
      <c r="K12" s="24">
        <f t="shared" ref="K12:K44" si="0">J12+H12</f>
        <v>0.51700000000000002</v>
      </c>
    </row>
    <row r="13" spans="1:11" s="5" customFormat="1" ht="36.75" customHeight="1" x14ac:dyDescent="0.25">
      <c r="A13" s="23">
        <v>3</v>
      </c>
      <c r="B13" s="49" t="s">
        <v>2415</v>
      </c>
      <c r="C13" s="15" t="s">
        <v>39</v>
      </c>
      <c r="D13" s="7" t="s">
        <v>562</v>
      </c>
      <c r="E13" s="14" t="s">
        <v>1041</v>
      </c>
      <c r="F13" s="13" t="s">
        <v>1051</v>
      </c>
      <c r="G13" s="13">
        <v>4</v>
      </c>
      <c r="H13" s="10">
        <f>0.358+0.199</f>
        <v>0.55699999999999994</v>
      </c>
      <c r="I13" s="10">
        <v>0.35799999999999998</v>
      </c>
      <c r="J13" s="10">
        <v>0.24</v>
      </c>
      <c r="K13" s="24">
        <f t="shared" si="0"/>
        <v>0.79699999999999993</v>
      </c>
    </row>
    <row r="14" spans="1:11" s="5" customFormat="1" ht="36" customHeight="1" x14ac:dyDescent="0.25">
      <c r="A14" s="23">
        <v>4</v>
      </c>
      <c r="B14" s="49" t="s">
        <v>2416</v>
      </c>
      <c r="C14" s="15" t="s">
        <v>38</v>
      </c>
      <c r="D14" s="7" t="s">
        <v>563</v>
      </c>
      <c r="E14" s="14" t="s">
        <v>1041</v>
      </c>
      <c r="F14" s="13" t="s">
        <v>1051</v>
      </c>
      <c r="G14" s="13">
        <v>4</v>
      </c>
      <c r="H14" s="10">
        <v>0.26600000000000001</v>
      </c>
      <c r="I14" s="10">
        <v>0.26600000000000001</v>
      </c>
      <c r="J14" s="10">
        <v>0</v>
      </c>
      <c r="K14" s="24">
        <f t="shared" si="0"/>
        <v>0.26600000000000001</v>
      </c>
    </row>
    <row r="15" spans="1:11" s="5" customFormat="1" ht="36" customHeight="1" x14ac:dyDescent="0.25">
      <c r="A15" s="23">
        <v>5</v>
      </c>
      <c r="B15" s="49" t="s">
        <v>2417</v>
      </c>
      <c r="C15" s="15" t="s">
        <v>39</v>
      </c>
      <c r="D15" s="7" t="s">
        <v>564</v>
      </c>
      <c r="E15" s="14" t="s">
        <v>1041</v>
      </c>
      <c r="F15" s="13" t="s">
        <v>1051</v>
      </c>
      <c r="G15" s="13">
        <v>3</v>
      </c>
      <c r="H15" s="10">
        <f>0.52+0.202+0.294</f>
        <v>1.016</v>
      </c>
      <c r="I15" s="10">
        <v>0.52</v>
      </c>
      <c r="J15" s="10">
        <v>0</v>
      </c>
      <c r="K15" s="24">
        <f t="shared" si="0"/>
        <v>1.016</v>
      </c>
    </row>
    <row r="16" spans="1:11" s="5" customFormat="1" ht="34.5" customHeight="1" x14ac:dyDescent="0.25">
      <c r="A16" s="23">
        <v>6</v>
      </c>
      <c r="B16" s="49" t="s">
        <v>2418</v>
      </c>
      <c r="C16" s="15" t="s">
        <v>39</v>
      </c>
      <c r="D16" s="7" t="s">
        <v>565</v>
      </c>
      <c r="E16" s="14" t="s">
        <v>1041</v>
      </c>
      <c r="F16" s="13" t="s">
        <v>1051</v>
      </c>
      <c r="G16" s="13">
        <v>4.5</v>
      </c>
      <c r="H16" s="10">
        <v>0.437</v>
      </c>
      <c r="I16" s="10">
        <v>0.437</v>
      </c>
      <c r="J16" s="10">
        <v>0</v>
      </c>
      <c r="K16" s="24">
        <f t="shared" si="0"/>
        <v>0.437</v>
      </c>
    </row>
    <row r="17" spans="1:11" s="5" customFormat="1" ht="36" customHeight="1" x14ac:dyDescent="0.25">
      <c r="A17" s="23">
        <v>7</v>
      </c>
      <c r="B17" s="49" t="s">
        <v>2419</v>
      </c>
      <c r="C17" s="15" t="s">
        <v>39</v>
      </c>
      <c r="D17" s="7" t="s">
        <v>566</v>
      </c>
      <c r="E17" s="14" t="s">
        <v>1041</v>
      </c>
      <c r="F17" s="13" t="s">
        <v>1051</v>
      </c>
      <c r="G17" s="13">
        <v>4</v>
      </c>
      <c r="H17" s="10">
        <v>0.45700000000000002</v>
      </c>
      <c r="I17" s="10">
        <v>0.45700000000000002</v>
      </c>
      <c r="J17" s="10">
        <v>0</v>
      </c>
      <c r="K17" s="24">
        <f t="shared" si="0"/>
        <v>0.45700000000000002</v>
      </c>
    </row>
    <row r="18" spans="1:11" s="5" customFormat="1" ht="31.15" customHeight="1" x14ac:dyDescent="0.25">
      <c r="A18" s="23">
        <v>8</v>
      </c>
      <c r="B18" s="49" t="s">
        <v>2420</v>
      </c>
      <c r="C18" s="15" t="s">
        <v>39</v>
      </c>
      <c r="D18" s="7" t="s">
        <v>1042</v>
      </c>
      <c r="E18" s="14" t="s">
        <v>1041</v>
      </c>
      <c r="F18" s="13" t="s">
        <v>1051</v>
      </c>
      <c r="G18" s="13">
        <v>3.5</v>
      </c>
      <c r="H18" s="10">
        <v>0.45500000000000002</v>
      </c>
      <c r="I18" s="10">
        <v>0.45500000000000002</v>
      </c>
      <c r="J18" s="10">
        <v>0.251</v>
      </c>
      <c r="K18" s="24">
        <f t="shared" si="0"/>
        <v>0.70599999999999996</v>
      </c>
    </row>
    <row r="19" spans="1:11" s="5" customFormat="1" ht="34.5" customHeight="1" x14ac:dyDescent="0.25">
      <c r="A19" s="23">
        <v>9</v>
      </c>
      <c r="B19" s="49" t="s">
        <v>2421</v>
      </c>
      <c r="C19" s="15" t="s">
        <v>39</v>
      </c>
      <c r="D19" s="7" t="s">
        <v>567</v>
      </c>
      <c r="E19" s="14" t="s">
        <v>1041</v>
      </c>
      <c r="F19" s="13" t="s">
        <v>1051</v>
      </c>
      <c r="G19" s="13">
        <v>3.5</v>
      </c>
      <c r="H19" s="10">
        <v>0.45</v>
      </c>
      <c r="I19" s="10">
        <v>0</v>
      </c>
      <c r="J19" s="10">
        <v>0</v>
      </c>
      <c r="K19" s="24">
        <f t="shared" si="0"/>
        <v>0.45</v>
      </c>
    </row>
    <row r="20" spans="1:11" s="5" customFormat="1" ht="33" customHeight="1" x14ac:dyDescent="0.25">
      <c r="A20" s="23">
        <v>10</v>
      </c>
      <c r="B20" s="49" t="s">
        <v>2422</v>
      </c>
      <c r="C20" s="15" t="s">
        <v>38</v>
      </c>
      <c r="D20" s="7" t="s">
        <v>568</v>
      </c>
      <c r="E20" s="14" t="s">
        <v>1041</v>
      </c>
      <c r="F20" s="13" t="s">
        <v>1051</v>
      </c>
      <c r="G20" s="13">
        <v>4</v>
      </c>
      <c r="H20" s="10">
        <v>0.40100000000000002</v>
      </c>
      <c r="I20" s="10">
        <v>0</v>
      </c>
      <c r="J20" s="10">
        <v>0</v>
      </c>
      <c r="K20" s="24">
        <f t="shared" si="0"/>
        <v>0.40100000000000002</v>
      </c>
    </row>
    <row r="21" spans="1:11" s="5" customFormat="1" ht="30" customHeight="1" x14ac:dyDescent="0.25">
      <c r="A21" s="23">
        <v>11</v>
      </c>
      <c r="B21" s="49" t="s">
        <v>2423</v>
      </c>
      <c r="C21" s="15" t="s">
        <v>38</v>
      </c>
      <c r="D21" s="7" t="s">
        <v>569</v>
      </c>
      <c r="E21" s="14" t="s">
        <v>1041</v>
      </c>
      <c r="F21" s="13" t="s">
        <v>1051</v>
      </c>
      <c r="G21" s="13">
        <v>4</v>
      </c>
      <c r="H21" s="10">
        <v>0</v>
      </c>
      <c r="I21" s="10">
        <v>0</v>
      </c>
      <c r="J21" s="10">
        <v>0.109</v>
      </c>
      <c r="K21" s="24">
        <f t="shared" si="0"/>
        <v>0.109</v>
      </c>
    </row>
    <row r="22" spans="1:11" s="5" customFormat="1" ht="33.75" customHeight="1" x14ac:dyDescent="0.25">
      <c r="A22" s="23">
        <v>12</v>
      </c>
      <c r="B22" s="49" t="s">
        <v>2424</v>
      </c>
      <c r="C22" s="15" t="s">
        <v>39</v>
      </c>
      <c r="D22" s="7" t="s">
        <v>570</v>
      </c>
      <c r="E22" s="14" t="s">
        <v>1041</v>
      </c>
      <c r="F22" s="13" t="s">
        <v>1051</v>
      </c>
      <c r="G22" s="13">
        <v>4</v>
      </c>
      <c r="H22" s="10">
        <f>0.493+0.214</f>
        <v>0.70699999999999996</v>
      </c>
      <c r="I22" s="10">
        <v>0.49299999999999999</v>
      </c>
      <c r="J22" s="10">
        <v>0</v>
      </c>
      <c r="K22" s="24">
        <f t="shared" si="0"/>
        <v>0.70699999999999996</v>
      </c>
    </row>
    <row r="23" spans="1:11" s="5" customFormat="1" ht="33.75" customHeight="1" x14ac:dyDescent="0.25">
      <c r="A23" s="23">
        <v>13</v>
      </c>
      <c r="B23" s="49" t="s">
        <v>2425</v>
      </c>
      <c r="C23" s="15" t="s">
        <v>39</v>
      </c>
      <c r="D23" s="7" t="s">
        <v>571</v>
      </c>
      <c r="E23" s="14" t="s">
        <v>1041</v>
      </c>
      <c r="F23" s="13" t="s">
        <v>1051</v>
      </c>
      <c r="G23" s="13">
        <v>4</v>
      </c>
      <c r="H23" s="10">
        <v>0.45</v>
      </c>
      <c r="I23" s="10">
        <v>0.45</v>
      </c>
      <c r="J23" s="10">
        <v>0</v>
      </c>
      <c r="K23" s="24">
        <f t="shared" si="0"/>
        <v>0.45</v>
      </c>
    </row>
    <row r="24" spans="1:11" s="5" customFormat="1" ht="33.75" customHeight="1" x14ac:dyDescent="0.25">
      <c r="A24" s="23">
        <v>14</v>
      </c>
      <c r="B24" s="49" t="s">
        <v>2426</v>
      </c>
      <c r="C24" s="15" t="s">
        <v>38</v>
      </c>
      <c r="D24" s="7" t="s">
        <v>572</v>
      </c>
      <c r="E24" s="14" t="s">
        <v>1041</v>
      </c>
      <c r="F24" s="13" t="s">
        <v>1051</v>
      </c>
      <c r="G24" s="13">
        <v>3.5</v>
      </c>
      <c r="H24" s="10">
        <v>0</v>
      </c>
      <c r="I24" s="10">
        <v>0</v>
      </c>
      <c r="J24" s="10">
        <v>0.26400000000000001</v>
      </c>
      <c r="K24" s="24">
        <f t="shared" si="0"/>
        <v>0.26400000000000001</v>
      </c>
    </row>
    <row r="25" spans="1:11" s="5" customFormat="1" ht="31.15" customHeight="1" x14ac:dyDescent="0.25">
      <c r="A25" s="23">
        <v>15</v>
      </c>
      <c r="B25" s="49" t="s">
        <v>2427</v>
      </c>
      <c r="C25" s="15" t="s">
        <v>39</v>
      </c>
      <c r="D25" s="7" t="s">
        <v>573</v>
      </c>
      <c r="E25" s="14" t="s">
        <v>1041</v>
      </c>
      <c r="F25" s="13" t="s">
        <v>1051</v>
      </c>
      <c r="G25" s="13">
        <v>4</v>
      </c>
      <c r="H25" s="10">
        <v>0.53600000000000003</v>
      </c>
      <c r="I25" s="10">
        <v>0.53600000000000003</v>
      </c>
      <c r="J25" s="10">
        <v>0</v>
      </c>
      <c r="K25" s="24">
        <f t="shared" si="0"/>
        <v>0.53600000000000003</v>
      </c>
    </row>
    <row r="26" spans="1:11" s="5" customFormat="1" ht="30" customHeight="1" x14ac:dyDescent="0.25">
      <c r="A26" s="23">
        <v>16</v>
      </c>
      <c r="B26" s="49" t="s">
        <v>2428</v>
      </c>
      <c r="C26" s="15" t="s">
        <v>976</v>
      </c>
      <c r="D26" s="7" t="s">
        <v>574</v>
      </c>
      <c r="E26" s="14" t="s">
        <v>1041</v>
      </c>
      <c r="F26" s="13" t="s">
        <v>1051</v>
      </c>
      <c r="G26" s="13">
        <v>3.5</v>
      </c>
      <c r="H26" s="10">
        <f>0.144+0.211</f>
        <v>0.35499999999999998</v>
      </c>
      <c r="I26" s="10">
        <v>0.14399999999999999</v>
      </c>
      <c r="J26" s="10">
        <v>0</v>
      </c>
      <c r="K26" s="24">
        <f t="shared" si="0"/>
        <v>0.35499999999999998</v>
      </c>
    </row>
    <row r="27" spans="1:11" s="5" customFormat="1" ht="37.5" customHeight="1" x14ac:dyDescent="0.25">
      <c r="A27" s="23">
        <v>17</v>
      </c>
      <c r="B27" s="49" t="s">
        <v>2429</v>
      </c>
      <c r="C27" s="15" t="s">
        <v>38</v>
      </c>
      <c r="D27" s="7" t="s">
        <v>575</v>
      </c>
      <c r="E27" s="14" t="s">
        <v>1041</v>
      </c>
      <c r="F27" s="13" t="s">
        <v>1051</v>
      </c>
      <c r="G27" s="13">
        <v>3.5</v>
      </c>
      <c r="H27" s="10">
        <v>0.16600000000000001</v>
      </c>
      <c r="I27" s="10">
        <v>0</v>
      </c>
      <c r="J27" s="10">
        <v>0.13700000000000001</v>
      </c>
      <c r="K27" s="24">
        <f t="shared" si="0"/>
        <v>0.30300000000000005</v>
      </c>
    </row>
    <row r="28" spans="1:11" s="5" customFormat="1" ht="33" customHeight="1" x14ac:dyDescent="0.25">
      <c r="A28" s="23">
        <v>18</v>
      </c>
      <c r="B28" s="49" t="s">
        <v>2430</v>
      </c>
      <c r="C28" s="15" t="s">
        <v>38</v>
      </c>
      <c r="D28" s="7" t="s">
        <v>576</v>
      </c>
      <c r="E28" s="14" t="s">
        <v>1041</v>
      </c>
      <c r="F28" s="13" t="s">
        <v>1051</v>
      </c>
      <c r="G28" s="13">
        <v>3.5</v>
      </c>
      <c r="H28" s="10">
        <v>0</v>
      </c>
      <c r="I28" s="10">
        <v>0</v>
      </c>
      <c r="J28" s="10">
        <v>0.4</v>
      </c>
      <c r="K28" s="24">
        <f t="shared" si="0"/>
        <v>0.4</v>
      </c>
    </row>
    <row r="29" spans="1:11" s="5" customFormat="1" ht="33.75" customHeight="1" x14ac:dyDescent="0.25">
      <c r="A29" s="23">
        <v>19</v>
      </c>
      <c r="B29" s="49" t="s">
        <v>2431</v>
      </c>
      <c r="C29" s="15" t="s">
        <v>39</v>
      </c>
      <c r="D29" s="7" t="s">
        <v>577</v>
      </c>
      <c r="E29" s="14" t="s">
        <v>1041</v>
      </c>
      <c r="F29" s="13" t="s">
        <v>1051</v>
      </c>
      <c r="G29" s="13">
        <v>4</v>
      </c>
      <c r="H29" s="10">
        <v>0.45600000000000002</v>
      </c>
      <c r="I29" s="10">
        <v>0</v>
      </c>
      <c r="J29" s="10">
        <f>0.228+0.267</f>
        <v>0.495</v>
      </c>
      <c r="K29" s="24">
        <f t="shared" si="0"/>
        <v>0.95100000000000007</v>
      </c>
    </row>
    <row r="30" spans="1:11" s="5" customFormat="1" ht="35.25" customHeight="1" x14ac:dyDescent="0.25">
      <c r="A30" s="23">
        <v>20</v>
      </c>
      <c r="B30" s="49" t="s">
        <v>2432</v>
      </c>
      <c r="C30" s="15" t="s">
        <v>38</v>
      </c>
      <c r="D30" s="7" t="s">
        <v>578</v>
      </c>
      <c r="E30" s="14" t="s">
        <v>1041</v>
      </c>
      <c r="F30" s="13" t="s">
        <v>1051</v>
      </c>
      <c r="G30" s="13">
        <v>3.5</v>
      </c>
      <c r="H30" s="10">
        <v>0</v>
      </c>
      <c r="I30" s="10">
        <v>0</v>
      </c>
      <c r="J30" s="10">
        <v>0.48399999999999999</v>
      </c>
      <c r="K30" s="24">
        <f t="shared" si="0"/>
        <v>0.48399999999999999</v>
      </c>
    </row>
    <row r="31" spans="1:11" s="5" customFormat="1" ht="36.75" customHeight="1" x14ac:dyDescent="0.25">
      <c r="A31" s="23">
        <v>21</v>
      </c>
      <c r="B31" s="49" t="s">
        <v>2433</v>
      </c>
      <c r="C31" s="15" t="s">
        <v>39</v>
      </c>
      <c r="D31" s="7" t="s">
        <v>579</v>
      </c>
      <c r="E31" s="14" t="s">
        <v>1041</v>
      </c>
      <c r="F31" s="13" t="s">
        <v>1051</v>
      </c>
      <c r="G31" s="13">
        <v>4</v>
      </c>
      <c r="H31" s="10">
        <v>0.55100000000000005</v>
      </c>
      <c r="I31" s="10">
        <v>0</v>
      </c>
      <c r="J31" s="10">
        <v>0</v>
      </c>
      <c r="K31" s="24">
        <f t="shared" si="0"/>
        <v>0.55100000000000005</v>
      </c>
    </row>
    <row r="32" spans="1:11" s="5" customFormat="1" ht="36" customHeight="1" x14ac:dyDescent="0.25">
      <c r="A32" s="23">
        <v>22</v>
      </c>
      <c r="B32" s="49" t="s">
        <v>2434</v>
      </c>
      <c r="C32" s="15" t="s">
        <v>38</v>
      </c>
      <c r="D32" s="7" t="s">
        <v>580</v>
      </c>
      <c r="E32" s="14" t="s">
        <v>1041</v>
      </c>
      <c r="F32" s="13" t="s">
        <v>1051</v>
      </c>
      <c r="G32" s="13">
        <v>3.5</v>
      </c>
      <c r="H32" s="10">
        <v>0</v>
      </c>
      <c r="I32" s="10">
        <v>0</v>
      </c>
      <c r="J32" s="10">
        <v>0.17899999999999999</v>
      </c>
      <c r="K32" s="24">
        <f t="shared" si="0"/>
        <v>0.17899999999999999</v>
      </c>
    </row>
    <row r="33" spans="1:11" s="5" customFormat="1" ht="34.5" customHeight="1" x14ac:dyDescent="0.25">
      <c r="A33" s="23">
        <v>23</v>
      </c>
      <c r="B33" s="49" t="s">
        <v>2435</v>
      </c>
      <c r="C33" s="15" t="s">
        <v>38</v>
      </c>
      <c r="D33" s="7" t="s">
        <v>581</v>
      </c>
      <c r="E33" s="14" t="s">
        <v>1041</v>
      </c>
      <c r="F33" s="13" t="s">
        <v>1051</v>
      </c>
      <c r="G33" s="13">
        <v>4</v>
      </c>
      <c r="H33" s="10">
        <v>0.86199999999999999</v>
      </c>
      <c r="I33" s="10">
        <v>0.86199999999999999</v>
      </c>
      <c r="J33" s="10">
        <v>0</v>
      </c>
      <c r="K33" s="24">
        <f t="shared" si="0"/>
        <v>0.86199999999999999</v>
      </c>
    </row>
    <row r="34" spans="1:11" s="5" customFormat="1" ht="36.75" customHeight="1" x14ac:dyDescent="0.25">
      <c r="A34" s="23">
        <v>24</v>
      </c>
      <c r="B34" s="49" t="s">
        <v>2436</v>
      </c>
      <c r="C34" s="15" t="s">
        <v>38</v>
      </c>
      <c r="D34" s="7" t="s">
        <v>582</v>
      </c>
      <c r="E34" s="14" t="s">
        <v>1041</v>
      </c>
      <c r="F34" s="13" t="s">
        <v>1051</v>
      </c>
      <c r="G34" s="13">
        <v>3.5</v>
      </c>
      <c r="H34" s="10">
        <v>0</v>
      </c>
      <c r="I34" s="10">
        <v>0</v>
      </c>
      <c r="J34" s="10">
        <v>1.5449999999999999</v>
      </c>
      <c r="K34" s="24">
        <f t="shared" si="0"/>
        <v>1.5449999999999999</v>
      </c>
    </row>
    <row r="35" spans="1:11" s="5" customFormat="1" ht="33" customHeight="1" x14ac:dyDescent="0.25">
      <c r="A35" s="23">
        <v>25</v>
      </c>
      <c r="B35" s="49" t="s">
        <v>2437</v>
      </c>
      <c r="C35" s="15" t="s">
        <v>38</v>
      </c>
      <c r="D35" s="7" t="s">
        <v>583</v>
      </c>
      <c r="E35" s="14" t="s">
        <v>1041</v>
      </c>
      <c r="F35" s="13" t="s">
        <v>1051</v>
      </c>
      <c r="G35" s="13">
        <v>3.5</v>
      </c>
      <c r="H35" s="10">
        <v>0</v>
      </c>
      <c r="I35" s="10">
        <v>0</v>
      </c>
      <c r="J35" s="10">
        <v>3.1890000000000001</v>
      </c>
      <c r="K35" s="24">
        <f t="shared" si="0"/>
        <v>3.1890000000000001</v>
      </c>
    </row>
    <row r="36" spans="1:11" s="5" customFormat="1" ht="33" customHeight="1" x14ac:dyDescent="0.25">
      <c r="A36" s="23">
        <v>26</v>
      </c>
      <c r="B36" s="49" t="s">
        <v>2438</v>
      </c>
      <c r="C36" s="15" t="s">
        <v>38</v>
      </c>
      <c r="D36" s="7" t="s">
        <v>584</v>
      </c>
      <c r="E36" s="14" t="s">
        <v>1041</v>
      </c>
      <c r="F36" s="13" t="s">
        <v>1051</v>
      </c>
      <c r="G36" s="13">
        <v>3.5</v>
      </c>
      <c r="H36" s="10">
        <v>0</v>
      </c>
      <c r="I36" s="10">
        <v>0</v>
      </c>
      <c r="J36" s="10">
        <v>3.96</v>
      </c>
      <c r="K36" s="24">
        <f t="shared" si="0"/>
        <v>3.96</v>
      </c>
    </row>
    <row r="37" spans="1:11" s="5" customFormat="1" ht="33" customHeight="1" x14ac:dyDescent="0.25">
      <c r="A37" s="23">
        <v>27</v>
      </c>
      <c r="B37" s="49" t="s">
        <v>2439</v>
      </c>
      <c r="C37" s="15" t="s">
        <v>38</v>
      </c>
      <c r="D37" s="7" t="s">
        <v>585</v>
      </c>
      <c r="E37" s="14" t="s">
        <v>1041</v>
      </c>
      <c r="F37" s="13" t="s">
        <v>1051</v>
      </c>
      <c r="G37" s="13">
        <v>3.5</v>
      </c>
      <c r="H37" s="10">
        <v>0</v>
      </c>
      <c r="I37" s="10">
        <v>0</v>
      </c>
      <c r="J37" s="10">
        <v>2.536</v>
      </c>
      <c r="K37" s="24">
        <f t="shared" si="0"/>
        <v>2.536</v>
      </c>
    </row>
    <row r="38" spans="1:11" s="5" customFormat="1" ht="34.5" customHeight="1" x14ac:dyDescent="0.25">
      <c r="A38" s="23">
        <v>28</v>
      </c>
      <c r="B38" s="49" t="s">
        <v>2440</v>
      </c>
      <c r="C38" s="15" t="s">
        <v>38</v>
      </c>
      <c r="D38" s="7" t="s">
        <v>586</v>
      </c>
      <c r="E38" s="14" t="s">
        <v>1041</v>
      </c>
      <c r="F38" s="13" t="s">
        <v>1051</v>
      </c>
      <c r="G38" s="13">
        <v>3.5</v>
      </c>
      <c r="H38" s="10">
        <v>0</v>
      </c>
      <c r="I38" s="10">
        <v>0</v>
      </c>
      <c r="J38" s="10">
        <v>2.149</v>
      </c>
      <c r="K38" s="24">
        <f t="shared" si="0"/>
        <v>2.149</v>
      </c>
    </row>
    <row r="39" spans="1:11" s="5" customFormat="1" ht="48.75" customHeight="1" x14ac:dyDescent="0.25">
      <c r="A39" s="23">
        <v>29</v>
      </c>
      <c r="B39" s="49" t="s">
        <v>2441</v>
      </c>
      <c r="C39" s="15" t="s">
        <v>38</v>
      </c>
      <c r="D39" s="7" t="s">
        <v>587</v>
      </c>
      <c r="E39" s="14" t="s">
        <v>1041</v>
      </c>
      <c r="F39" s="13" t="s">
        <v>1051</v>
      </c>
      <c r="G39" s="13">
        <v>3.5</v>
      </c>
      <c r="H39" s="10">
        <v>0</v>
      </c>
      <c r="I39" s="10">
        <v>0</v>
      </c>
      <c r="J39" s="10">
        <v>3.2530000000000001</v>
      </c>
      <c r="K39" s="24">
        <f t="shared" si="0"/>
        <v>3.2530000000000001</v>
      </c>
    </row>
    <row r="40" spans="1:11" s="5" customFormat="1" ht="33" customHeight="1" x14ac:dyDescent="0.25">
      <c r="A40" s="23">
        <v>30</v>
      </c>
      <c r="B40" s="49" t="s">
        <v>2442</v>
      </c>
      <c r="C40" s="15" t="s">
        <v>38</v>
      </c>
      <c r="D40" s="7" t="s">
        <v>588</v>
      </c>
      <c r="E40" s="14" t="s">
        <v>1041</v>
      </c>
      <c r="F40" s="13" t="s">
        <v>1051</v>
      </c>
      <c r="G40" s="13">
        <v>3.5</v>
      </c>
      <c r="H40" s="10">
        <v>4.407</v>
      </c>
      <c r="I40" s="10">
        <v>0</v>
      </c>
      <c r="J40" s="10">
        <v>0</v>
      </c>
      <c r="K40" s="24">
        <f t="shared" si="0"/>
        <v>4.407</v>
      </c>
    </row>
    <row r="41" spans="1:11" s="5" customFormat="1" ht="27.6" customHeight="1" x14ac:dyDescent="0.25">
      <c r="A41" s="23">
        <v>31</v>
      </c>
      <c r="B41" s="49" t="s">
        <v>2443</v>
      </c>
      <c r="C41" s="15" t="s">
        <v>38</v>
      </c>
      <c r="D41" s="7" t="s">
        <v>589</v>
      </c>
      <c r="E41" s="14" t="s">
        <v>1041</v>
      </c>
      <c r="F41" s="13" t="s">
        <v>1051</v>
      </c>
      <c r="G41" s="13">
        <v>3.5</v>
      </c>
      <c r="H41" s="10">
        <v>2.3959999999999999</v>
      </c>
      <c r="I41" s="10">
        <v>0</v>
      </c>
      <c r="J41" s="10">
        <v>0</v>
      </c>
      <c r="K41" s="24">
        <f t="shared" si="0"/>
        <v>2.3959999999999999</v>
      </c>
    </row>
    <row r="42" spans="1:11" s="5" customFormat="1" ht="28.15" customHeight="1" x14ac:dyDescent="0.25">
      <c r="A42" s="23">
        <v>32</v>
      </c>
      <c r="B42" s="49" t="s">
        <v>2444</v>
      </c>
      <c r="C42" s="15" t="s">
        <v>38</v>
      </c>
      <c r="D42" s="7" t="s">
        <v>590</v>
      </c>
      <c r="E42" s="14" t="s">
        <v>1041</v>
      </c>
      <c r="F42" s="13" t="s">
        <v>1051</v>
      </c>
      <c r="G42" s="13">
        <v>3.5</v>
      </c>
      <c r="H42" s="10">
        <v>0</v>
      </c>
      <c r="I42" s="10">
        <v>0</v>
      </c>
      <c r="J42" s="10">
        <v>0.65500000000000003</v>
      </c>
      <c r="K42" s="24">
        <f t="shared" si="0"/>
        <v>0.65500000000000003</v>
      </c>
    </row>
    <row r="43" spans="1:11" s="5" customFormat="1" ht="36" customHeight="1" x14ac:dyDescent="0.25">
      <c r="A43" s="23">
        <v>33</v>
      </c>
      <c r="B43" s="49" t="s">
        <v>2445</v>
      </c>
      <c r="C43" s="15" t="s">
        <v>38</v>
      </c>
      <c r="D43" s="7" t="s">
        <v>591</v>
      </c>
      <c r="E43" s="14" t="s">
        <v>1041</v>
      </c>
      <c r="F43" s="13" t="s">
        <v>1051</v>
      </c>
      <c r="G43" s="13">
        <v>3.5</v>
      </c>
      <c r="H43" s="10">
        <v>0</v>
      </c>
      <c r="I43" s="10">
        <v>0</v>
      </c>
      <c r="J43" s="10">
        <v>4.8410000000000002</v>
      </c>
      <c r="K43" s="24">
        <f t="shared" si="0"/>
        <v>4.8410000000000002</v>
      </c>
    </row>
    <row r="44" spans="1:11" s="5" customFormat="1" ht="37.9" customHeight="1" x14ac:dyDescent="0.25">
      <c r="A44" s="23">
        <v>34</v>
      </c>
      <c r="B44" s="49" t="s">
        <v>2446</v>
      </c>
      <c r="C44" s="15" t="s">
        <v>38</v>
      </c>
      <c r="D44" s="7" t="s">
        <v>994</v>
      </c>
      <c r="E44" s="14" t="s">
        <v>1041</v>
      </c>
      <c r="F44" s="13" t="s">
        <v>1051</v>
      </c>
      <c r="G44" s="13">
        <v>3.5</v>
      </c>
      <c r="H44" s="10">
        <v>0</v>
      </c>
      <c r="I44" s="10">
        <v>0</v>
      </c>
      <c r="J44" s="10">
        <v>8.31</v>
      </c>
      <c r="K44" s="24">
        <f t="shared" si="0"/>
        <v>8.31</v>
      </c>
    </row>
  </sheetData>
  <sheetProtection insertRows="0" deleteRows="0" sort="0"/>
  <mergeCells count="9">
    <mergeCell ref="K7:K8"/>
    <mergeCell ref="F7:F8"/>
    <mergeCell ref="C1:I1"/>
    <mergeCell ref="A7:A8"/>
    <mergeCell ref="B7:B8"/>
    <mergeCell ref="C7:C8"/>
    <mergeCell ref="D7:D8"/>
    <mergeCell ref="E7:E8"/>
    <mergeCell ref="G7:G8"/>
  </mergeCells>
  <conditionalFormatting sqref="K11:K44">
    <cfRule type="expression" dxfId="14" priority="2">
      <formula>$H11+$J11&lt;&gt;$K11</formula>
    </cfRule>
  </conditionalFormatting>
  <conditionalFormatting sqref="H10:K10">
    <cfRule type="expression" dxfId="13" priority="237">
      <formula>H$10&lt;&gt;SUM(H$11:H$277)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topLeftCell="C1" zoomScale="80" zoomScaleNormal="100" zoomScaleSheetLayoutView="80" workbookViewId="0">
      <selection activeCell="I7" sqref="I7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4.140625" style="4" customWidth="1"/>
    <col min="5" max="5" width="26.28515625" style="4" customWidth="1"/>
    <col min="6" max="6" width="11.7109375" style="4" customWidth="1"/>
    <col min="7" max="7" width="10.42578125" style="4" customWidth="1"/>
    <col min="8" max="8" width="17" style="4" customWidth="1"/>
    <col min="9" max="9" width="15.5703125" style="4" customWidth="1"/>
    <col min="10" max="10" width="16.5703125" style="4" customWidth="1"/>
    <col min="11" max="11" width="17.5703125" style="4" customWidth="1"/>
    <col min="12" max="16384" width="9.140625" style="4"/>
  </cols>
  <sheetData>
    <row r="1" spans="1:12" s="5" customFormat="1" ht="41.25" customHeight="1" x14ac:dyDescent="0.25">
      <c r="A1" s="142" t="s">
        <v>15</v>
      </c>
      <c r="B1" s="142" t="s">
        <v>0</v>
      </c>
      <c r="C1" s="178" t="s">
        <v>13</v>
      </c>
      <c r="D1" s="178" t="s">
        <v>1</v>
      </c>
      <c r="E1" s="178" t="s">
        <v>6</v>
      </c>
      <c r="F1" s="178" t="s">
        <v>14</v>
      </c>
      <c r="G1" s="178" t="s">
        <v>958</v>
      </c>
      <c r="H1" s="70"/>
      <c r="I1" s="41" t="s">
        <v>16</v>
      </c>
      <c r="J1" s="71"/>
      <c r="K1" s="178" t="s">
        <v>5</v>
      </c>
    </row>
    <row r="2" spans="1:12" s="5" customFormat="1" ht="60" customHeight="1" thickBot="1" x14ac:dyDescent="0.3">
      <c r="A2" s="143"/>
      <c r="B2" s="143"/>
      <c r="C2" s="179"/>
      <c r="D2" s="179"/>
      <c r="E2" s="179"/>
      <c r="F2" s="179"/>
      <c r="G2" s="179"/>
      <c r="H2" s="25" t="s">
        <v>3</v>
      </c>
      <c r="I2" s="25" t="s">
        <v>24</v>
      </c>
      <c r="J2" s="61" t="s">
        <v>4</v>
      </c>
      <c r="K2" s="179"/>
    </row>
    <row r="3" spans="1:12" s="5" customFormat="1" ht="21.75" customHeight="1" thickBot="1" x14ac:dyDescent="0.3">
      <c r="A3" s="27">
        <v>1</v>
      </c>
      <c r="B3" s="28">
        <v>2</v>
      </c>
      <c r="C3" s="28">
        <v>3</v>
      </c>
      <c r="D3" s="28">
        <v>4</v>
      </c>
      <c r="E3" s="28">
        <v>5</v>
      </c>
      <c r="F3" s="28">
        <v>6</v>
      </c>
      <c r="G3" s="29">
        <v>7</v>
      </c>
      <c r="H3" s="29">
        <v>8</v>
      </c>
      <c r="I3" s="28">
        <v>9</v>
      </c>
      <c r="J3" s="28">
        <v>10</v>
      </c>
      <c r="K3" s="30">
        <v>11</v>
      </c>
    </row>
    <row r="4" spans="1:12" s="5" customFormat="1" ht="29.25" customHeight="1" x14ac:dyDescent="0.25">
      <c r="A4" s="18" t="s">
        <v>2</v>
      </c>
      <c r="B4" s="48"/>
      <c r="C4" s="48"/>
      <c r="D4" s="48"/>
      <c r="E4" s="48"/>
      <c r="F4" s="48"/>
      <c r="G4" s="72"/>
      <c r="H4" s="21">
        <f t="shared" ref="H4:I4" si="0">SUBTOTAL(9,H5:H133)</f>
        <v>23.719000000000001</v>
      </c>
      <c r="I4" s="21">
        <f t="shared" si="0"/>
        <v>23.719000000000001</v>
      </c>
      <c r="J4" s="21">
        <f>SUBTOTAL(9,J5:J133)</f>
        <v>0</v>
      </c>
      <c r="K4" s="21">
        <f>SUBTOTAL(9,K5:K133)</f>
        <v>23.719000000000001</v>
      </c>
      <c r="L4" s="12"/>
    </row>
    <row r="5" spans="1:12" s="5" customFormat="1" ht="55.5" customHeight="1" x14ac:dyDescent="0.25">
      <c r="A5" s="23"/>
      <c r="B5" s="49"/>
      <c r="C5" s="15" t="s">
        <v>38</v>
      </c>
      <c r="D5" s="49" t="s">
        <v>1632</v>
      </c>
      <c r="E5" s="14" t="s">
        <v>1053</v>
      </c>
      <c r="F5" s="14" t="s">
        <v>1051</v>
      </c>
      <c r="G5" s="73">
        <v>4.5</v>
      </c>
      <c r="H5" s="10">
        <v>2.7290000000000001</v>
      </c>
      <c r="I5" s="10">
        <f>2.378+0.351</f>
        <v>2.7290000000000001</v>
      </c>
      <c r="J5" s="10">
        <v>0</v>
      </c>
      <c r="K5" s="24">
        <f>SUM(J5,H5)</f>
        <v>2.7290000000000001</v>
      </c>
    </row>
    <row r="6" spans="1:12" s="5" customFormat="1" ht="37.5" customHeight="1" x14ac:dyDescent="0.25">
      <c r="A6" s="23"/>
      <c r="B6" s="49"/>
      <c r="C6" s="15" t="s">
        <v>38</v>
      </c>
      <c r="D6" s="49" t="s">
        <v>227</v>
      </c>
      <c r="E6" s="14" t="s">
        <v>1061</v>
      </c>
      <c r="F6" s="14" t="s">
        <v>1051</v>
      </c>
      <c r="G6" s="73">
        <v>4.5</v>
      </c>
      <c r="H6" s="10">
        <v>9.0630000000000006</v>
      </c>
      <c r="I6" s="10">
        <v>9.0630000000000006</v>
      </c>
      <c r="J6" s="10">
        <v>0</v>
      </c>
      <c r="K6" s="24">
        <f>SUM(J6,H6)</f>
        <v>9.0630000000000006</v>
      </c>
    </row>
    <row r="7" spans="1:12" s="5" customFormat="1" ht="49.5" customHeight="1" x14ac:dyDescent="0.25">
      <c r="A7" s="23"/>
      <c r="B7" s="49"/>
      <c r="C7" s="15" t="s">
        <v>38</v>
      </c>
      <c r="D7" s="49" t="s">
        <v>195</v>
      </c>
      <c r="E7" s="14" t="s">
        <v>1053</v>
      </c>
      <c r="F7" s="14" t="s">
        <v>1051</v>
      </c>
      <c r="G7" s="73">
        <v>4.5</v>
      </c>
      <c r="H7" s="10">
        <v>1.2</v>
      </c>
      <c r="I7" s="10">
        <v>1.2</v>
      </c>
      <c r="J7" s="10">
        <v>0</v>
      </c>
      <c r="K7" s="24">
        <f>SUM(J7,H7)</f>
        <v>1.2</v>
      </c>
    </row>
    <row r="8" spans="1:12" s="5" customFormat="1" ht="43.5" customHeight="1" x14ac:dyDescent="0.25">
      <c r="A8" s="23"/>
      <c r="B8" s="49"/>
      <c r="C8" s="15" t="s">
        <v>38</v>
      </c>
      <c r="D8" s="49" t="s">
        <v>798</v>
      </c>
      <c r="E8" s="14" t="s">
        <v>1066</v>
      </c>
      <c r="F8" s="14" t="s">
        <v>1051</v>
      </c>
      <c r="G8" s="73">
        <v>4.5</v>
      </c>
      <c r="H8" s="10">
        <v>1.0129999999999999</v>
      </c>
      <c r="I8" s="10">
        <v>1.0129999999999999</v>
      </c>
      <c r="J8" s="10">
        <v>0</v>
      </c>
      <c r="K8" s="24">
        <v>1.0129999999999999</v>
      </c>
    </row>
    <row r="9" spans="1:12" s="74" customFormat="1" ht="52.5" customHeight="1" x14ac:dyDescent="0.25">
      <c r="A9" s="140"/>
      <c r="B9" s="6"/>
      <c r="C9" s="15" t="s">
        <v>38</v>
      </c>
      <c r="D9" s="7" t="s">
        <v>438</v>
      </c>
      <c r="E9" s="14" t="s">
        <v>1044</v>
      </c>
      <c r="F9" s="13" t="s">
        <v>1051</v>
      </c>
      <c r="G9" s="13">
        <v>4.5</v>
      </c>
      <c r="H9" s="10">
        <v>4.4000000000000004</v>
      </c>
      <c r="I9" s="10">
        <v>4.4000000000000004</v>
      </c>
      <c r="J9" s="10">
        <v>0</v>
      </c>
      <c r="K9" s="36">
        <f>SUM(J9,H9)</f>
        <v>4.4000000000000004</v>
      </c>
    </row>
    <row r="10" spans="1:12" s="74" customFormat="1" ht="31.9" customHeight="1" x14ac:dyDescent="0.25">
      <c r="A10" s="67"/>
      <c r="B10" s="6"/>
      <c r="C10" s="15" t="s">
        <v>38</v>
      </c>
      <c r="D10" s="7" t="s">
        <v>685</v>
      </c>
      <c r="E10" s="14" t="s">
        <v>1018</v>
      </c>
      <c r="F10" s="13" t="s">
        <v>1051</v>
      </c>
      <c r="G10" s="13">
        <v>4</v>
      </c>
      <c r="H10" s="10">
        <v>1.4139999999999999</v>
      </c>
      <c r="I10" s="10">
        <v>1.4139999999999999</v>
      </c>
      <c r="J10" s="10">
        <v>0</v>
      </c>
      <c r="K10" s="130">
        <f>J10+H10</f>
        <v>1.4139999999999999</v>
      </c>
    </row>
    <row r="11" spans="1:12" s="5" customFormat="1" ht="37.9" customHeight="1" x14ac:dyDescent="0.25">
      <c r="A11" s="23"/>
      <c r="B11" s="49"/>
      <c r="C11" s="33" t="s">
        <v>39</v>
      </c>
      <c r="D11" s="49" t="s">
        <v>1634</v>
      </c>
      <c r="E11" s="14" t="s">
        <v>1018</v>
      </c>
      <c r="F11" s="14" t="s">
        <v>1114</v>
      </c>
      <c r="G11" s="73">
        <v>6</v>
      </c>
      <c r="H11" s="10">
        <v>3.9</v>
      </c>
      <c r="I11" s="10">
        <v>3.9</v>
      </c>
      <c r="J11" s="10">
        <v>0</v>
      </c>
      <c r="K11" s="130">
        <f>J11+H11</f>
        <v>3.9</v>
      </c>
    </row>
  </sheetData>
  <sheetProtection insertRows="0" deleteRows="0" sort="0"/>
  <mergeCells count="6">
    <mergeCell ref="K1:K2"/>
    <mergeCell ref="C1:C2"/>
    <mergeCell ref="D1:D2"/>
    <mergeCell ref="E1:E2"/>
    <mergeCell ref="F1:F2"/>
    <mergeCell ref="G1:G2"/>
  </mergeCells>
  <conditionalFormatting sqref="K9">
    <cfRule type="expression" dxfId="42" priority="3">
      <formula>$H9+$J9&lt;&gt;$K9</formula>
    </cfRule>
  </conditionalFormatting>
  <conditionalFormatting sqref="K10:K11">
    <cfRule type="expression" dxfId="41" priority="2">
      <formula>$H10+$J10&lt;&gt;$K10</formula>
    </cfRule>
  </conditionalFormatting>
  <pageMargins left="0.23622047244094491" right="0.23622047244094491" top="0.55118110236220474" bottom="0.55118110236220474" header="0.11811023622047245" footer="0.11811023622047245"/>
  <pageSetup paperSize="9" scale="7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opLeftCell="A16" zoomScaleNormal="100" zoomScaleSheetLayoutView="80" workbookViewId="0">
      <selection activeCell="J30" sqref="J30"/>
    </sheetView>
  </sheetViews>
  <sheetFormatPr defaultColWidth="9.140625" defaultRowHeight="15" x14ac:dyDescent="0.25"/>
  <cols>
    <col min="1" max="1" width="7.140625" style="80" customWidth="1"/>
    <col min="2" max="2" width="23.85546875" style="80" customWidth="1"/>
    <col min="3" max="3" width="14.85546875" style="80" customWidth="1"/>
    <col min="4" max="4" width="34.140625" style="80" customWidth="1"/>
    <col min="5" max="5" width="21.5703125" style="80" customWidth="1"/>
    <col min="6" max="7" width="10.42578125" style="80" customWidth="1"/>
    <col min="8" max="8" width="12" style="80" customWidth="1"/>
    <col min="9" max="9" width="15.5703125" style="80" customWidth="1"/>
    <col min="10" max="10" width="12.28515625" style="80" customWidth="1"/>
    <col min="11" max="11" width="13.5703125" style="80" customWidth="1"/>
    <col min="12" max="16384" width="9.140625" style="80"/>
  </cols>
  <sheetData>
    <row r="1" spans="1:11" s="4" customFormat="1" ht="28.9" customHeight="1" x14ac:dyDescent="0.25">
      <c r="B1" s="5"/>
      <c r="C1" s="180" t="s">
        <v>3270</v>
      </c>
      <c r="D1" s="180"/>
      <c r="E1" s="180"/>
      <c r="F1" s="180"/>
      <c r="G1" s="180"/>
      <c r="H1" s="180"/>
      <c r="I1" s="180"/>
      <c r="J1" s="5"/>
    </row>
    <row r="2" spans="1:11" s="4" customFormat="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s="4" customFormat="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s="4" customFormat="1" x14ac:dyDescent="0.25">
      <c r="C4" s="152"/>
      <c r="D4" s="152"/>
      <c r="E4" s="152"/>
      <c r="F4" s="152"/>
      <c r="G4" s="152"/>
      <c r="H4" s="152"/>
      <c r="I4" s="152"/>
      <c r="K4" s="153" t="s">
        <v>3257</v>
      </c>
    </row>
    <row r="5" spans="1:11" s="4" customFormat="1" x14ac:dyDescent="0.25">
      <c r="K5" s="153" t="s">
        <v>3258</v>
      </c>
    </row>
    <row r="7" spans="1:11" s="74" customFormat="1" ht="41.25" customHeight="1" x14ac:dyDescent="0.25">
      <c r="A7" s="171" t="s">
        <v>15</v>
      </c>
      <c r="B7" s="171" t="s">
        <v>0</v>
      </c>
      <c r="C7" s="171" t="s">
        <v>13</v>
      </c>
      <c r="D7" s="171" t="s">
        <v>1</v>
      </c>
      <c r="E7" s="171" t="s">
        <v>6</v>
      </c>
      <c r="F7" s="171" t="s">
        <v>14</v>
      </c>
      <c r="G7" s="171" t="s">
        <v>1043</v>
      </c>
      <c r="H7" s="43"/>
      <c r="I7" s="44" t="s">
        <v>16</v>
      </c>
      <c r="J7" s="139"/>
      <c r="K7" s="171" t="s">
        <v>5</v>
      </c>
    </row>
    <row r="8" spans="1:11" s="74" customFormat="1" ht="60" customHeight="1" x14ac:dyDescent="0.25">
      <c r="A8" s="172"/>
      <c r="B8" s="172"/>
      <c r="C8" s="172"/>
      <c r="D8" s="172"/>
      <c r="E8" s="172"/>
      <c r="F8" s="172"/>
      <c r="G8" s="171"/>
      <c r="H8" s="138" t="s">
        <v>3</v>
      </c>
      <c r="I8" s="138" t="s">
        <v>24</v>
      </c>
      <c r="J8" s="140" t="s">
        <v>4</v>
      </c>
      <c r="K8" s="172"/>
    </row>
    <row r="9" spans="1:11" s="74" customFormat="1" ht="21.75" customHeight="1" x14ac:dyDescent="0.25">
      <c r="A9" s="131">
        <v>1</v>
      </c>
      <c r="B9" s="131">
        <v>2</v>
      </c>
      <c r="C9" s="131">
        <v>3</v>
      </c>
      <c r="D9" s="131">
        <v>4</v>
      </c>
      <c r="E9" s="131">
        <v>5</v>
      </c>
      <c r="F9" s="132">
        <v>6</v>
      </c>
      <c r="G9" s="132">
        <v>7</v>
      </c>
      <c r="H9" s="132">
        <v>8</v>
      </c>
      <c r="I9" s="131">
        <v>9</v>
      </c>
      <c r="J9" s="131">
        <v>10</v>
      </c>
      <c r="K9" s="140">
        <v>11</v>
      </c>
    </row>
    <row r="10" spans="1:11" s="74" customFormat="1" ht="29.25" customHeight="1" x14ac:dyDescent="0.25">
      <c r="A10" s="133" t="s">
        <v>2</v>
      </c>
      <c r="B10" s="134"/>
      <c r="C10" s="134"/>
      <c r="D10" s="134"/>
      <c r="E10" s="134"/>
      <c r="F10" s="135"/>
      <c r="G10" s="135"/>
      <c r="H10" s="36">
        <f>SUM(H11:H36)</f>
        <v>11.265000000000001</v>
      </c>
      <c r="I10" s="36">
        <f>SUM(I11:I36)</f>
        <v>3.7289999999999996</v>
      </c>
      <c r="J10" s="36">
        <f>SUM(J11:J36)</f>
        <v>32.033000000000001</v>
      </c>
      <c r="K10" s="36">
        <f>SUM(K11:K36)</f>
        <v>43.298000000000002</v>
      </c>
    </row>
    <row r="11" spans="1:11" s="74" customFormat="1" ht="33.75" customHeight="1" x14ac:dyDescent="0.25">
      <c r="A11" s="140">
        <v>1</v>
      </c>
      <c r="B11" s="49" t="s">
        <v>2447</v>
      </c>
      <c r="C11" s="15" t="s">
        <v>39</v>
      </c>
      <c r="D11" s="7" t="s">
        <v>404</v>
      </c>
      <c r="E11" s="14" t="s">
        <v>1044</v>
      </c>
      <c r="F11" s="13" t="s">
        <v>1114</v>
      </c>
      <c r="G11" s="13">
        <v>6</v>
      </c>
      <c r="H11" s="10">
        <f>1.106+1</f>
        <v>2.1059999999999999</v>
      </c>
      <c r="I11" s="10">
        <v>1.1060000000000001</v>
      </c>
      <c r="J11" s="10">
        <v>1</v>
      </c>
      <c r="K11" s="36">
        <f t="shared" ref="K11:K22" si="0">SUM(J11,H11)</f>
        <v>3.1059999999999999</v>
      </c>
    </row>
    <row r="12" spans="1:11" s="74" customFormat="1" ht="35.25" customHeight="1" x14ac:dyDescent="0.25">
      <c r="A12" s="140">
        <v>2</v>
      </c>
      <c r="B12" s="49" t="s">
        <v>2448</v>
      </c>
      <c r="C12" s="15" t="s">
        <v>39</v>
      </c>
      <c r="D12" s="7" t="s">
        <v>405</v>
      </c>
      <c r="E12" s="14" t="s">
        <v>1044</v>
      </c>
      <c r="F12" s="13" t="s">
        <v>1051</v>
      </c>
      <c r="G12" s="13">
        <v>4.5</v>
      </c>
      <c r="H12" s="10">
        <f>0.953+0.25</f>
        <v>1.2029999999999998</v>
      </c>
      <c r="I12" s="10">
        <v>0.77300000000000002</v>
      </c>
      <c r="J12" s="10">
        <v>0</v>
      </c>
      <c r="K12" s="36">
        <f t="shared" si="0"/>
        <v>1.2029999999999998</v>
      </c>
    </row>
    <row r="13" spans="1:11" s="74" customFormat="1" ht="39.75" customHeight="1" x14ac:dyDescent="0.25">
      <c r="A13" s="140">
        <v>3</v>
      </c>
      <c r="B13" s="49" t="s">
        <v>2449</v>
      </c>
      <c r="C13" s="15" t="s">
        <v>38</v>
      </c>
      <c r="D13" s="7" t="s">
        <v>433</v>
      </c>
      <c r="E13" s="14" t="s">
        <v>1044</v>
      </c>
      <c r="F13" s="13" t="s">
        <v>1051</v>
      </c>
      <c r="G13" s="13">
        <v>4.5</v>
      </c>
      <c r="H13" s="10">
        <f>0.15</f>
        <v>0.15</v>
      </c>
      <c r="I13" s="10">
        <v>0.15</v>
      </c>
      <c r="J13" s="10">
        <v>0</v>
      </c>
      <c r="K13" s="36">
        <f t="shared" si="0"/>
        <v>0.15</v>
      </c>
    </row>
    <row r="14" spans="1:11" s="74" customFormat="1" ht="32.25" customHeight="1" x14ac:dyDescent="0.25">
      <c r="A14" s="140">
        <v>4</v>
      </c>
      <c r="B14" s="49" t="s">
        <v>2450</v>
      </c>
      <c r="C14" s="15" t="s">
        <v>39</v>
      </c>
      <c r="D14" s="7" t="s">
        <v>406</v>
      </c>
      <c r="E14" s="14" t="s">
        <v>1044</v>
      </c>
      <c r="F14" s="13" t="s">
        <v>1051</v>
      </c>
      <c r="G14" s="13">
        <v>4.5</v>
      </c>
      <c r="H14" s="10">
        <f>0.598</f>
        <v>0.59799999999999998</v>
      </c>
      <c r="I14" s="10">
        <v>0.59799999999999998</v>
      </c>
      <c r="J14" s="10">
        <v>0</v>
      </c>
      <c r="K14" s="36">
        <f t="shared" si="0"/>
        <v>0.59799999999999998</v>
      </c>
    </row>
    <row r="15" spans="1:11" s="74" customFormat="1" ht="31.5" customHeight="1" x14ac:dyDescent="0.25">
      <c r="A15" s="140">
        <v>5</v>
      </c>
      <c r="B15" s="49" t="s">
        <v>2451</v>
      </c>
      <c r="C15" s="15" t="s">
        <v>38</v>
      </c>
      <c r="D15" s="7" t="s">
        <v>407</v>
      </c>
      <c r="E15" s="14" t="s">
        <v>1044</v>
      </c>
      <c r="F15" s="13" t="s">
        <v>1051</v>
      </c>
      <c r="G15" s="13">
        <v>3.5</v>
      </c>
      <c r="H15" s="10">
        <v>0.105</v>
      </c>
      <c r="I15" s="10">
        <v>0.105</v>
      </c>
      <c r="J15" s="10">
        <v>0</v>
      </c>
      <c r="K15" s="36">
        <f t="shared" si="0"/>
        <v>0.105</v>
      </c>
    </row>
    <row r="16" spans="1:11" s="74" customFormat="1" ht="33.75" customHeight="1" x14ac:dyDescent="0.25">
      <c r="A16" s="140">
        <v>6</v>
      </c>
      <c r="B16" s="49" t="s">
        <v>2452</v>
      </c>
      <c r="C16" s="15" t="s">
        <v>38</v>
      </c>
      <c r="D16" s="7" t="s">
        <v>408</v>
      </c>
      <c r="E16" s="14" t="s">
        <v>1044</v>
      </c>
      <c r="F16" s="13" t="s">
        <v>1051</v>
      </c>
      <c r="G16" s="13">
        <v>4.5</v>
      </c>
      <c r="H16" s="10">
        <v>0.60499999999999998</v>
      </c>
      <c r="I16" s="10">
        <v>0.60499999999999998</v>
      </c>
      <c r="J16" s="10">
        <v>0</v>
      </c>
      <c r="K16" s="36">
        <f t="shared" si="0"/>
        <v>0.60499999999999998</v>
      </c>
    </row>
    <row r="17" spans="1:11" s="74" customFormat="1" ht="35.25" customHeight="1" x14ac:dyDescent="0.25">
      <c r="A17" s="140">
        <v>7</v>
      </c>
      <c r="B17" s="49" t="s">
        <v>2453</v>
      </c>
      <c r="C17" s="15" t="s">
        <v>38</v>
      </c>
      <c r="D17" s="7" t="s">
        <v>409</v>
      </c>
      <c r="E17" s="14" t="s">
        <v>1044</v>
      </c>
      <c r="F17" s="13" t="s">
        <v>1051</v>
      </c>
      <c r="G17" s="13">
        <v>3.5</v>
      </c>
      <c r="H17" s="10">
        <v>0.19500000000000001</v>
      </c>
      <c r="I17" s="10">
        <v>0</v>
      </c>
      <c r="J17" s="10">
        <v>0</v>
      </c>
      <c r="K17" s="36">
        <f t="shared" si="0"/>
        <v>0.19500000000000001</v>
      </c>
    </row>
    <row r="18" spans="1:11" s="74" customFormat="1" ht="36" customHeight="1" x14ac:dyDescent="0.25">
      <c r="A18" s="140">
        <v>8</v>
      </c>
      <c r="B18" s="49" t="s">
        <v>2454</v>
      </c>
      <c r="C18" s="15" t="s">
        <v>38</v>
      </c>
      <c r="D18" s="7" t="s">
        <v>410</v>
      </c>
      <c r="E18" s="14" t="s">
        <v>1044</v>
      </c>
      <c r="F18" s="13" t="s">
        <v>1051</v>
      </c>
      <c r="G18" s="13">
        <v>4.5</v>
      </c>
      <c r="H18" s="10">
        <v>0.11</v>
      </c>
      <c r="I18" s="10">
        <v>0.11</v>
      </c>
      <c r="J18" s="10">
        <v>0</v>
      </c>
      <c r="K18" s="36">
        <f t="shared" si="0"/>
        <v>0.11</v>
      </c>
    </row>
    <row r="19" spans="1:11" s="74" customFormat="1" ht="36.75" customHeight="1" x14ac:dyDescent="0.25">
      <c r="A19" s="140">
        <v>9</v>
      </c>
      <c r="B19" s="49" t="s">
        <v>2455</v>
      </c>
      <c r="C19" s="15" t="s">
        <v>38</v>
      </c>
      <c r="D19" s="7" t="s">
        <v>434</v>
      </c>
      <c r="E19" s="14" t="s">
        <v>1044</v>
      </c>
      <c r="F19" s="13" t="s">
        <v>1051</v>
      </c>
      <c r="G19" s="13">
        <v>4</v>
      </c>
      <c r="H19" s="10">
        <v>0.28199999999999997</v>
      </c>
      <c r="I19" s="10">
        <v>0.28199999999999997</v>
      </c>
      <c r="J19" s="10">
        <v>0</v>
      </c>
      <c r="K19" s="36">
        <f t="shared" si="0"/>
        <v>0.28199999999999997</v>
      </c>
    </row>
    <row r="20" spans="1:11" s="74" customFormat="1" ht="33.75" customHeight="1" x14ac:dyDescent="0.25">
      <c r="A20" s="140">
        <v>10</v>
      </c>
      <c r="B20" s="49" t="s">
        <v>2456</v>
      </c>
      <c r="C20" s="15" t="s">
        <v>38</v>
      </c>
      <c r="D20" s="7" t="s">
        <v>435</v>
      </c>
      <c r="E20" s="14" t="s">
        <v>1044</v>
      </c>
      <c r="F20" s="13" t="s">
        <v>1051</v>
      </c>
      <c r="G20" s="13">
        <v>4</v>
      </c>
      <c r="H20" s="10">
        <v>0.17299999999999999</v>
      </c>
      <c r="I20" s="10">
        <v>0</v>
      </c>
      <c r="J20" s="10">
        <v>0</v>
      </c>
      <c r="K20" s="36">
        <f t="shared" si="0"/>
        <v>0.17299999999999999</v>
      </c>
    </row>
    <row r="21" spans="1:11" s="74" customFormat="1" ht="33.75" customHeight="1" x14ac:dyDescent="0.25">
      <c r="A21" s="140">
        <v>11</v>
      </c>
      <c r="B21" s="49" t="s">
        <v>2457</v>
      </c>
      <c r="C21" s="15" t="s">
        <v>38</v>
      </c>
      <c r="D21" s="7" t="s">
        <v>436</v>
      </c>
      <c r="E21" s="14" t="s">
        <v>1044</v>
      </c>
      <c r="F21" s="13" t="s">
        <v>1051</v>
      </c>
      <c r="G21" s="13">
        <v>3.5</v>
      </c>
      <c r="H21" s="10">
        <v>0</v>
      </c>
      <c r="I21" s="10">
        <v>0</v>
      </c>
      <c r="J21" s="10">
        <v>0.5</v>
      </c>
      <c r="K21" s="36">
        <f t="shared" si="0"/>
        <v>0.5</v>
      </c>
    </row>
    <row r="22" spans="1:11" s="74" customFormat="1" ht="35.25" customHeight="1" x14ac:dyDescent="0.25">
      <c r="A22" s="140">
        <v>12</v>
      </c>
      <c r="B22" s="49" t="s">
        <v>2458</v>
      </c>
      <c r="C22" s="15" t="s">
        <v>38</v>
      </c>
      <c r="D22" s="7" t="s">
        <v>437</v>
      </c>
      <c r="E22" s="14" t="s">
        <v>1044</v>
      </c>
      <c r="F22" s="13" t="s">
        <v>1051</v>
      </c>
      <c r="G22" s="13">
        <v>3.5</v>
      </c>
      <c r="H22" s="10">
        <v>0</v>
      </c>
      <c r="I22" s="10">
        <v>0</v>
      </c>
      <c r="J22" s="10">
        <v>0.74199999999999999</v>
      </c>
      <c r="K22" s="36">
        <f t="shared" si="0"/>
        <v>0.74199999999999999</v>
      </c>
    </row>
    <row r="23" spans="1:11" s="74" customFormat="1" ht="35.25" customHeight="1" x14ac:dyDescent="0.25">
      <c r="A23" s="140">
        <v>13</v>
      </c>
      <c r="B23" s="49" t="s">
        <v>3259</v>
      </c>
      <c r="C23" s="15" t="s">
        <v>38</v>
      </c>
      <c r="D23" s="7" t="s">
        <v>411</v>
      </c>
      <c r="E23" s="14" t="s">
        <v>1044</v>
      </c>
      <c r="F23" s="13" t="s">
        <v>1051</v>
      </c>
      <c r="G23" s="13">
        <v>3.5</v>
      </c>
      <c r="H23" s="10">
        <v>0</v>
      </c>
      <c r="I23" s="10">
        <v>0</v>
      </c>
      <c r="J23" s="10">
        <v>4.5250000000000004</v>
      </c>
      <c r="K23" s="36">
        <f t="shared" ref="K23:K28" si="1">SUM(J23,H23)</f>
        <v>4.5250000000000004</v>
      </c>
    </row>
    <row r="24" spans="1:11" s="74" customFormat="1" ht="36" customHeight="1" x14ac:dyDescent="0.25">
      <c r="A24" s="140">
        <v>14</v>
      </c>
      <c r="B24" s="49" t="s">
        <v>3260</v>
      </c>
      <c r="C24" s="15" t="s">
        <v>38</v>
      </c>
      <c r="D24" s="7" t="s">
        <v>441</v>
      </c>
      <c r="E24" s="14" t="s">
        <v>1044</v>
      </c>
      <c r="F24" s="13" t="s">
        <v>1051</v>
      </c>
      <c r="G24" s="13">
        <v>3.5</v>
      </c>
      <c r="H24" s="10">
        <v>0</v>
      </c>
      <c r="I24" s="10">
        <v>0</v>
      </c>
      <c r="J24" s="10">
        <v>1.44</v>
      </c>
      <c r="K24" s="36">
        <f t="shared" si="1"/>
        <v>1.44</v>
      </c>
    </row>
    <row r="25" spans="1:11" s="74" customFormat="1" ht="30.75" customHeight="1" x14ac:dyDescent="0.25">
      <c r="A25" s="140">
        <v>15</v>
      </c>
      <c r="B25" s="49" t="s">
        <v>3261</v>
      </c>
      <c r="C25" s="15" t="s">
        <v>38</v>
      </c>
      <c r="D25" s="7" t="s">
        <v>439</v>
      </c>
      <c r="E25" s="14" t="s">
        <v>1044</v>
      </c>
      <c r="F25" s="13" t="s">
        <v>1051</v>
      </c>
      <c r="G25" s="13">
        <v>3.5</v>
      </c>
      <c r="H25" s="10">
        <v>0</v>
      </c>
      <c r="I25" s="10">
        <v>0</v>
      </c>
      <c r="J25" s="10">
        <v>2.391</v>
      </c>
      <c r="K25" s="36">
        <f t="shared" si="1"/>
        <v>2.391</v>
      </c>
    </row>
    <row r="26" spans="1:11" s="74" customFormat="1" ht="23.25" customHeight="1" x14ac:dyDescent="0.25">
      <c r="A26" s="140">
        <v>16</v>
      </c>
      <c r="B26" s="49" t="s">
        <v>3262</v>
      </c>
      <c r="C26" s="15" t="s">
        <v>38</v>
      </c>
      <c r="D26" s="7" t="s">
        <v>412</v>
      </c>
      <c r="E26" s="14" t="s">
        <v>1044</v>
      </c>
      <c r="F26" s="13" t="s">
        <v>1051</v>
      </c>
      <c r="G26" s="13">
        <v>3.5</v>
      </c>
      <c r="H26" s="10">
        <v>0</v>
      </c>
      <c r="I26" s="10">
        <v>0</v>
      </c>
      <c r="J26" s="10">
        <v>4.0140000000000002</v>
      </c>
      <c r="K26" s="36">
        <f t="shared" si="1"/>
        <v>4.0140000000000002</v>
      </c>
    </row>
    <row r="27" spans="1:11" s="74" customFormat="1" ht="33" customHeight="1" x14ac:dyDescent="0.25">
      <c r="A27" s="140">
        <v>17</v>
      </c>
      <c r="B27" s="49" t="s">
        <v>3263</v>
      </c>
      <c r="C27" s="15" t="s">
        <v>38</v>
      </c>
      <c r="D27" s="7" t="s">
        <v>440</v>
      </c>
      <c r="E27" s="14" t="s">
        <v>1044</v>
      </c>
      <c r="F27" s="13" t="s">
        <v>1051</v>
      </c>
      <c r="G27" s="13">
        <v>3.5</v>
      </c>
      <c r="H27" s="10">
        <v>0</v>
      </c>
      <c r="I27" s="10">
        <v>0</v>
      </c>
      <c r="J27" s="10">
        <v>0.63</v>
      </c>
      <c r="K27" s="36">
        <f t="shared" si="1"/>
        <v>0.63</v>
      </c>
    </row>
    <row r="28" spans="1:11" s="74" customFormat="1" ht="35.25" customHeight="1" x14ac:dyDescent="0.25">
      <c r="A28" s="140">
        <v>18</v>
      </c>
      <c r="B28" s="49" t="s">
        <v>3264</v>
      </c>
      <c r="C28" s="15" t="s">
        <v>38</v>
      </c>
      <c r="D28" s="7" t="s">
        <v>442</v>
      </c>
      <c r="E28" s="14" t="s">
        <v>1044</v>
      </c>
      <c r="F28" s="13" t="s">
        <v>1051</v>
      </c>
      <c r="G28" s="13">
        <v>3.5</v>
      </c>
      <c r="H28" s="10">
        <v>0</v>
      </c>
      <c r="I28" s="10">
        <v>0</v>
      </c>
      <c r="J28" s="10">
        <v>7.2859999999999996</v>
      </c>
      <c r="K28" s="36">
        <f t="shared" si="1"/>
        <v>7.2859999999999996</v>
      </c>
    </row>
    <row r="29" spans="1:11" s="74" customFormat="1" ht="35.25" customHeight="1" x14ac:dyDescent="0.25">
      <c r="A29" s="140">
        <v>19</v>
      </c>
      <c r="B29" s="49" t="s">
        <v>3265</v>
      </c>
      <c r="C29" s="15" t="s">
        <v>38</v>
      </c>
      <c r="D29" s="7" t="s">
        <v>446</v>
      </c>
      <c r="E29" s="14" t="s">
        <v>1044</v>
      </c>
      <c r="F29" s="13" t="s">
        <v>1051</v>
      </c>
      <c r="G29" s="13">
        <v>3.5</v>
      </c>
      <c r="H29" s="10">
        <v>5.7380000000000004</v>
      </c>
      <c r="I29" s="10">
        <v>0</v>
      </c>
      <c r="J29" s="10">
        <v>0</v>
      </c>
      <c r="K29" s="36">
        <f t="shared" ref="K29" si="2">SUM(J29,H29)</f>
        <v>5.7380000000000004</v>
      </c>
    </row>
    <row r="30" spans="1:11" s="74" customFormat="1" ht="39" customHeight="1" x14ac:dyDescent="0.25">
      <c r="A30" s="140">
        <v>20</v>
      </c>
      <c r="B30" s="49" t="s">
        <v>3266</v>
      </c>
      <c r="C30" s="15" t="s">
        <v>38</v>
      </c>
      <c r="D30" s="7" t="s">
        <v>443</v>
      </c>
      <c r="E30" s="14" t="s">
        <v>1044</v>
      </c>
      <c r="F30" s="13" t="s">
        <v>1051</v>
      </c>
      <c r="G30" s="13">
        <v>3.5</v>
      </c>
      <c r="H30" s="10">
        <v>0</v>
      </c>
      <c r="I30" s="10">
        <v>0</v>
      </c>
      <c r="J30" s="10">
        <v>2.1629999999999998</v>
      </c>
      <c r="K30" s="36">
        <f>SUM(J30,H30)</f>
        <v>2.1629999999999998</v>
      </c>
    </row>
    <row r="31" spans="1:11" s="74" customFormat="1" ht="32.25" customHeight="1" x14ac:dyDescent="0.25">
      <c r="A31" s="140">
        <v>21</v>
      </c>
      <c r="B31" s="49" t="s">
        <v>3267</v>
      </c>
      <c r="C31" s="15" t="s">
        <v>38</v>
      </c>
      <c r="D31" s="7" t="s">
        <v>444</v>
      </c>
      <c r="E31" s="14" t="s">
        <v>1044</v>
      </c>
      <c r="F31" s="13" t="s">
        <v>1051</v>
      </c>
      <c r="G31" s="13">
        <v>3.5</v>
      </c>
      <c r="H31" s="10">
        <v>0</v>
      </c>
      <c r="I31" s="10">
        <v>0</v>
      </c>
      <c r="J31" s="10">
        <v>1.325</v>
      </c>
      <c r="K31" s="36">
        <f>SUM(J31,H31)</f>
        <v>1.325</v>
      </c>
    </row>
    <row r="32" spans="1:11" s="74" customFormat="1" ht="34.5" customHeight="1" x14ac:dyDescent="0.25">
      <c r="A32" s="140">
        <v>22</v>
      </c>
      <c r="B32" s="49" t="s">
        <v>3268</v>
      </c>
      <c r="C32" s="15" t="s">
        <v>38</v>
      </c>
      <c r="D32" s="7" t="s">
        <v>445</v>
      </c>
      <c r="E32" s="14" t="s">
        <v>1044</v>
      </c>
      <c r="F32" s="13" t="s">
        <v>1051</v>
      </c>
      <c r="G32" s="13">
        <v>3.5</v>
      </c>
      <c r="H32" s="10">
        <v>0</v>
      </c>
      <c r="I32" s="10">
        <v>0</v>
      </c>
      <c r="J32" s="10">
        <v>3.8719999999999999</v>
      </c>
      <c r="K32" s="36">
        <f>SUM(J32,H32)</f>
        <v>3.8719999999999999</v>
      </c>
    </row>
    <row r="33" spans="1:11" s="74" customFormat="1" ht="36.6" customHeight="1" x14ac:dyDescent="0.25">
      <c r="A33" s="140">
        <v>23</v>
      </c>
      <c r="B33" s="49" t="s">
        <v>3269</v>
      </c>
      <c r="C33" s="15" t="s">
        <v>38</v>
      </c>
      <c r="D33" s="7" t="s">
        <v>989</v>
      </c>
      <c r="E33" s="14" t="s">
        <v>1044</v>
      </c>
      <c r="F33" s="13" t="s">
        <v>1051</v>
      </c>
      <c r="G33" s="13">
        <v>3.5</v>
      </c>
      <c r="H33" s="10">
        <v>0</v>
      </c>
      <c r="I33" s="10">
        <v>0</v>
      </c>
      <c r="J33" s="10">
        <v>2.145</v>
      </c>
      <c r="K33" s="36">
        <f>SUM(J33,H33)</f>
        <v>2.145</v>
      </c>
    </row>
  </sheetData>
  <sheetProtection insertRows="0" deleteRows="0" sort="0"/>
  <mergeCells count="9">
    <mergeCell ref="A7:A8"/>
    <mergeCell ref="B7:B8"/>
    <mergeCell ref="C7:C8"/>
    <mergeCell ref="D7:D8"/>
    <mergeCell ref="C1:I1"/>
    <mergeCell ref="K7:K8"/>
    <mergeCell ref="G7:G8"/>
    <mergeCell ref="E7:E8"/>
    <mergeCell ref="F7:F8"/>
  </mergeCells>
  <phoneticPr fontId="22" type="noConversion"/>
  <conditionalFormatting sqref="K11:K33">
    <cfRule type="expression" dxfId="12" priority="1">
      <formula>$H11+$J11&lt;&gt;$K11</formula>
    </cfRule>
  </conditionalFormatting>
  <conditionalFormatting sqref="H10:K10">
    <cfRule type="expression" dxfId="11" priority="240">
      <formula>H$10&lt;&gt;SUM(H$11:H$36)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opLeftCell="A70" zoomScaleNormal="100" zoomScaleSheetLayoutView="80" workbookViewId="0">
      <selection activeCell="J67" sqref="J67"/>
    </sheetView>
  </sheetViews>
  <sheetFormatPr defaultColWidth="9.140625" defaultRowHeight="15" x14ac:dyDescent="0.25"/>
  <cols>
    <col min="1" max="1" width="7.140625" style="80" customWidth="1"/>
    <col min="2" max="2" width="23.85546875" style="80" customWidth="1"/>
    <col min="3" max="3" width="14.85546875" style="80" customWidth="1"/>
    <col min="4" max="4" width="34.140625" style="80" customWidth="1"/>
    <col min="5" max="5" width="22" style="80" customWidth="1"/>
    <col min="6" max="7" width="10.42578125" style="80" customWidth="1"/>
    <col min="8" max="8" width="12.28515625" style="80" customWidth="1"/>
    <col min="9" max="9" width="15.5703125" style="80" customWidth="1"/>
    <col min="10" max="10" width="10.28515625" style="80" customWidth="1"/>
    <col min="11" max="11" width="14.7109375" style="80" customWidth="1"/>
    <col min="12" max="16384" width="9.140625" style="80"/>
  </cols>
  <sheetData>
    <row r="1" spans="1:11" s="4" customFormat="1" ht="28.9" customHeight="1" x14ac:dyDescent="0.25">
      <c r="B1" s="5"/>
      <c r="C1" s="180" t="s">
        <v>3271</v>
      </c>
      <c r="D1" s="180"/>
      <c r="E1" s="180"/>
      <c r="F1" s="180"/>
      <c r="G1" s="180"/>
      <c r="H1" s="180"/>
      <c r="I1" s="180"/>
      <c r="J1" s="5"/>
    </row>
    <row r="2" spans="1:11" s="4" customFormat="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s="4" customFormat="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s="4" customFormat="1" x14ac:dyDescent="0.25">
      <c r="C4" s="152"/>
      <c r="D4" s="152"/>
      <c r="E4" s="152"/>
      <c r="F4" s="152"/>
      <c r="G4" s="152"/>
      <c r="H4" s="152"/>
      <c r="I4" s="152"/>
      <c r="K4" s="153" t="s">
        <v>3272</v>
      </c>
    </row>
    <row r="5" spans="1:11" s="4" customFormat="1" x14ac:dyDescent="0.25">
      <c r="K5" s="153" t="s">
        <v>3273</v>
      </c>
    </row>
    <row r="7" spans="1:11" s="74" customFormat="1" ht="41.25" customHeight="1" x14ac:dyDescent="0.25">
      <c r="A7" s="171" t="s">
        <v>15</v>
      </c>
      <c r="B7" s="171" t="s">
        <v>0</v>
      </c>
      <c r="C7" s="171" t="s">
        <v>13</v>
      </c>
      <c r="D7" s="171" t="s">
        <v>1</v>
      </c>
      <c r="E7" s="171" t="s">
        <v>6</v>
      </c>
      <c r="F7" s="171" t="s">
        <v>14</v>
      </c>
      <c r="G7" s="171" t="s">
        <v>958</v>
      </c>
      <c r="H7" s="53"/>
      <c r="I7" s="44" t="s">
        <v>16</v>
      </c>
      <c r="J7" s="55"/>
      <c r="K7" s="171" t="s">
        <v>5</v>
      </c>
    </row>
    <row r="8" spans="1:11" s="74" customFormat="1" ht="60" customHeight="1" x14ac:dyDescent="0.25">
      <c r="A8" s="172"/>
      <c r="B8" s="172"/>
      <c r="C8" s="172"/>
      <c r="D8" s="172"/>
      <c r="E8" s="172"/>
      <c r="F8" s="172"/>
      <c r="G8" s="171"/>
      <c r="H8" s="138" t="s">
        <v>3</v>
      </c>
      <c r="I8" s="138" t="s">
        <v>24</v>
      </c>
      <c r="J8" s="140" t="s">
        <v>4</v>
      </c>
      <c r="K8" s="172"/>
    </row>
    <row r="9" spans="1:11" s="74" customFormat="1" ht="21.75" customHeight="1" x14ac:dyDescent="0.25">
      <c r="A9" s="131">
        <v>1</v>
      </c>
      <c r="B9" s="131">
        <v>2</v>
      </c>
      <c r="C9" s="131">
        <v>3</v>
      </c>
      <c r="D9" s="131">
        <v>4</v>
      </c>
      <c r="E9" s="131">
        <v>5</v>
      </c>
      <c r="F9" s="132">
        <v>6</v>
      </c>
      <c r="G9" s="132">
        <v>7</v>
      </c>
      <c r="H9" s="132">
        <v>8</v>
      </c>
      <c r="I9" s="131">
        <v>9</v>
      </c>
      <c r="J9" s="131">
        <v>10</v>
      </c>
      <c r="K9" s="140">
        <v>11</v>
      </c>
    </row>
    <row r="10" spans="1:11" s="74" customFormat="1" ht="29.25" customHeight="1" x14ac:dyDescent="0.25">
      <c r="A10" s="133" t="s">
        <v>2</v>
      </c>
      <c r="B10" s="134"/>
      <c r="C10" s="134"/>
      <c r="D10" s="134"/>
      <c r="E10" s="134"/>
      <c r="F10" s="135"/>
      <c r="G10" s="135"/>
      <c r="H10" s="36">
        <f>SUM(H11:H180)</f>
        <v>44.222000000000001</v>
      </c>
      <c r="I10" s="36">
        <f>SUM(I11:I180)</f>
        <v>28.555999999999987</v>
      </c>
      <c r="J10" s="36">
        <f>SUM(J11:J180)</f>
        <v>83.524000000000001</v>
      </c>
      <c r="K10" s="36">
        <f>SUM(K11:K180)</f>
        <v>127.746</v>
      </c>
    </row>
    <row r="11" spans="1:11" s="74" customFormat="1" ht="29.25" customHeight="1" x14ac:dyDescent="0.25">
      <c r="A11" s="140">
        <v>1</v>
      </c>
      <c r="B11" s="49" t="s">
        <v>2459</v>
      </c>
      <c r="C11" s="15" t="s">
        <v>39</v>
      </c>
      <c r="D11" s="7" t="s">
        <v>243</v>
      </c>
      <c r="E11" s="14" t="s">
        <v>1045</v>
      </c>
      <c r="F11" s="13" t="s">
        <v>1051</v>
      </c>
      <c r="G11" s="13">
        <v>4</v>
      </c>
      <c r="H11" s="10">
        <v>1.6830000000000001</v>
      </c>
      <c r="I11" s="10">
        <v>1.6830000000000001</v>
      </c>
      <c r="J11" s="10">
        <v>0.154</v>
      </c>
      <c r="K11" s="36">
        <f>SUM(J11,H11)</f>
        <v>1.837</v>
      </c>
    </row>
    <row r="12" spans="1:11" s="74" customFormat="1" ht="30.6" customHeight="1" x14ac:dyDescent="0.25">
      <c r="A12" s="140">
        <v>2</v>
      </c>
      <c r="B12" s="49" t="s">
        <v>2460</v>
      </c>
      <c r="C12" s="15" t="s">
        <v>39</v>
      </c>
      <c r="D12" s="7" t="s">
        <v>244</v>
      </c>
      <c r="E12" s="14" t="s">
        <v>1045</v>
      </c>
      <c r="F12" s="13" t="s">
        <v>1051</v>
      </c>
      <c r="G12" s="13">
        <v>4</v>
      </c>
      <c r="H12" s="10">
        <v>0.97299999999999998</v>
      </c>
      <c r="I12" s="10">
        <v>0.97299999999999998</v>
      </c>
      <c r="J12" s="10">
        <v>0</v>
      </c>
      <c r="K12" s="36">
        <f t="shared" ref="K12:K75" si="0">SUM(J12,H12)</f>
        <v>0.97299999999999998</v>
      </c>
    </row>
    <row r="13" spans="1:11" s="74" customFormat="1" ht="31.15" customHeight="1" x14ac:dyDescent="0.25">
      <c r="A13" s="140">
        <v>3</v>
      </c>
      <c r="B13" s="49" t="s">
        <v>2461</v>
      </c>
      <c r="C13" s="15" t="s">
        <v>39</v>
      </c>
      <c r="D13" s="7" t="s">
        <v>245</v>
      </c>
      <c r="E13" s="14" t="s">
        <v>1045</v>
      </c>
      <c r="F13" s="13" t="s">
        <v>1051</v>
      </c>
      <c r="G13" s="13">
        <v>4</v>
      </c>
      <c r="H13" s="10">
        <v>0.48</v>
      </c>
      <c r="I13" s="10">
        <v>0.48</v>
      </c>
      <c r="J13" s="10">
        <v>0.20200000000000001</v>
      </c>
      <c r="K13" s="36">
        <f t="shared" si="0"/>
        <v>0.68199999999999994</v>
      </c>
    </row>
    <row r="14" spans="1:11" s="74" customFormat="1" ht="39.75" customHeight="1" x14ac:dyDescent="0.25">
      <c r="A14" s="140">
        <v>4</v>
      </c>
      <c r="B14" s="49" t="s">
        <v>2462</v>
      </c>
      <c r="C14" s="15" t="s">
        <v>39</v>
      </c>
      <c r="D14" s="7" t="s">
        <v>246</v>
      </c>
      <c r="E14" s="14" t="s">
        <v>1045</v>
      </c>
      <c r="F14" s="13" t="s">
        <v>1051</v>
      </c>
      <c r="G14" s="13">
        <v>4</v>
      </c>
      <c r="H14" s="10">
        <f>0.785+0.302</f>
        <v>1.087</v>
      </c>
      <c r="I14" s="10">
        <f>0.785+0.302</f>
        <v>1.087</v>
      </c>
      <c r="J14" s="10">
        <v>0</v>
      </c>
      <c r="K14" s="36">
        <f t="shared" si="0"/>
        <v>1.087</v>
      </c>
    </row>
    <row r="15" spans="1:11" s="74" customFormat="1" ht="38.25" customHeight="1" x14ac:dyDescent="0.25">
      <c r="A15" s="140">
        <v>5</v>
      </c>
      <c r="B15" s="49" t="s">
        <v>2463</v>
      </c>
      <c r="C15" s="15" t="s">
        <v>38</v>
      </c>
      <c r="D15" s="7" t="s">
        <v>1046</v>
      </c>
      <c r="E15" s="14" t="s">
        <v>1045</v>
      </c>
      <c r="F15" s="13" t="s">
        <v>1051</v>
      </c>
      <c r="G15" s="13">
        <v>3.5</v>
      </c>
      <c r="H15" s="10">
        <v>0</v>
      </c>
      <c r="I15" s="10">
        <v>0</v>
      </c>
      <c r="J15" s="10">
        <v>0.41</v>
      </c>
      <c r="K15" s="36">
        <f t="shared" si="0"/>
        <v>0.41</v>
      </c>
    </row>
    <row r="16" spans="1:11" s="74" customFormat="1" ht="29.45" customHeight="1" x14ac:dyDescent="0.25">
      <c r="A16" s="140">
        <v>6</v>
      </c>
      <c r="B16" s="49" t="s">
        <v>2464</v>
      </c>
      <c r="C16" s="15" t="s">
        <v>39</v>
      </c>
      <c r="D16" s="7" t="s">
        <v>247</v>
      </c>
      <c r="E16" s="14" t="s">
        <v>1045</v>
      </c>
      <c r="F16" s="13" t="s">
        <v>1051</v>
      </c>
      <c r="G16" s="13">
        <v>4</v>
      </c>
      <c r="H16" s="10">
        <v>0.63600000000000001</v>
      </c>
      <c r="I16" s="10">
        <v>0.63600000000000001</v>
      </c>
      <c r="J16" s="10">
        <v>0</v>
      </c>
      <c r="K16" s="36">
        <f t="shared" si="0"/>
        <v>0.63600000000000001</v>
      </c>
    </row>
    <row r="17" spans="1:11" s="74" customFormat="1" ht="30.6" customHeight="1" x14ac:dyDescent="0.25">
      <c r="A17" s="140">
        <v>7</v>
      </c>
      <c r="B17" s="49" t="s">
        <v>2465</v>
      </c>
      <c r="C17" s="15" t="s">
        <v>39</v>
      </c>
      <c r="D17" s="7" t="s">
        <v>248</v>
      </c>
      <c r="E17" s="14" t="s">
        <v>1045</v>
      </c>
      <c r="F17" s="13" t="s">
        <v>1051</v>
      </c>
      <c r="G17" s="13">
        <v>4</v>
      </c>
      <c r="H17" s="10">
        <v>0.96</v>
      </c>
      <c r="I17" s="10">
        <v>0.96</v>
      </c>
      <c r="J17" s="10">
        <v>8.5000000000000006E-2</v>
      </c>
      <c r="K17" s="36">
        <f t="shared" si="0"/>
        <v>1.0449999999999999</v>
      </c>
    </row>
    <row r="18" spans="1:11" s="74" customFormat="1" ht="32.450000000000003" customHeight="1" x14ac:dyDescent="0.25">
      <c r="A18" s="140">
        <v>8</v>
      </c>
      <c r="B18" s="49" t="s">
        <v>2466</v>
      </c>
      <c r="C18" s="15" t="s">
        <v>39</v>
      </c>
      <c r="D18" s="7" t="s">
        <v>249</v>
      </c>
      <c r="E18" s="14" t="s">
        <v>1045</v>
      </c>
      <c r="F18" s="13" t="s">
        <v>1051</v>
      </c>
      <c r="G18" s="13">
        <v>4.5</v>
      </c>
      <c r="H18" s="10">
        <v>0.87</v>
      </c>
      <c r="I18" s="10">
        <v>0.87</v>
      </c>
      <c r="J18" s="10">
        <v>0</v>
      </c>
      <c r="K18" s="36">
        <f t="shared" si="0"/>
        <v>0.87</v>
      </c>
    </row>
    <row r="19" spans="1:11" s="74" customFormat="1" ht="31.15" customHeight="1" x14ac:dyDescent="0.25">
      <c r="A19" s="140">
        <v>9</v>
      </c>
      <c r="B19" s="49" t="s">
        <v>2467</v>
      </c>
      <c r="C19" s="15" t="s">
        <v>976</v>
      </c>
      <c r="D19" s="7" t="s">
        <v>250</v>
      </c>
      <c r="E19" s="14" t="s">
        <v>1045</v>
      </c>
      <c r="F19" s="13" t="s">
        <v>1051</v>
      </c>
      <c r="G19" s="13">
        <v>3.5</v>
      </c>
      <c r="H19" s="10">
        <v>0.36499999999999999</v>
      </c>
      <c r="I19" s="10">
        <v>0</v>
      </c>
      <c r="J19" s="10">
        <v>0</v>
      </c>
      <c r="K19" s="36">
        <f t="shared" si="0"/>
        <v>0.36499999999999999</v>
      </c>
    </row>
    <row r="20" spans="1:11" s="74" customFormat="1" ht="29.45" customHeight="1" x14ac:dyDescent="0.25">
      <c r="A20" s="140">
        <v>10</v>
      </c>
      <c r="B20" s="49" t="s">
        <v>2468</v>
      </c>
      <c r="C20" s="15" t="s">
        <v>39</v>
      </c>
      <c r="D20" s="7" t="s">
        <v>251</v>
      </c>
      <c r="E20" s="14" t="s">
        <v>1045</v>
      </c>
      <c r="F20" s="13" t="s">
        <v>1051</v>
      </c>
      <c r="G20" s="13">
        <v>4</v>
      </c>
      <c r="H20" s="10">
        <v>0.45500000000000002</v>
      </c>
      <c r="I20" s="10">
        <v>0.40500000000000003</v>
      </c>
      <c r="J20" s="10">
        <v>0</v>
      </c>
      <c r="K20" s="36">
        <f t="shared" si="0"/>
        <v>0.45500000000000002</v>
      </c>
    </row>
    <row r="21" spans="1:11" s="74" customFormat="1" ht="29.45" customHeight="1" x14ac:dyDescent="0.25">
      <c r="A21" s="140">
        <v>11</v>
      </c>
      <c r="B21" s="49" t="s">
        <v>2469</v>
      </c>
      <c r="C21" s="15" t="s">
        <v>39</v>
      </c>
      <c r="D21" s="7" t="s">
        <v>252</v>
      </c>
      <c r="E21" s="14" t="s">
        <v>1045</v>
      </c>
      <c r="F21" s="13" t="s">
        <v>1051</v>
      </c>
      <c r="G21" s="13">
        <v>3.5</v>
      </c>
      <c r="H21" s="10">
        <f>1.137+0.374</f>
        <v>1.5110000000000001</v>
      </c>
      <c r="I21" s="10">
        <v>1.137</v>
      </c>
      <c r="J21" s="10">
        <v>6.6000000000000003E-2</v>
      </c>
      <c r="K21" s="36">
        <f t="shared" si="0"/>
        <v>1.5770000000000002</v>
      </c>
    </row>
    <row r="22" spans="1:11" s="74" customFormat="1" ht="35.25" customHeight="1" x14ac:dyDescent="0.25">
      <c r="A22" s="140">
        <v>12</v>
      </c>
      <c r="B22" s="49" t="s">
        <v>2470</v>
      </c>
      <c r="C22" s="15" t="s">
        <v>38</v>
      </c>
      <c r="D22" s="7" t="s">
        <v>253</v>
      </c>
      <c r="E22" s="14" t="s">
        <v>1045</v>
      </c>
      <c r="F22" s="13" t="s">
        <v>1051</v>
      </c>
      <c r="G22" s="13">
        <v>3.5</v>
      </c>
      <c r="H22" s="10">
        <v>0.28499999999999998</v>
      </c>
      <c r="I22" s="10">
        <v>0.28499999999999998</v>
      </c>
      <c r="J22" s="10">
        <v>0</v>
      </c>
      <c r="K22" s="36">
        <f t="shared" si="0"/>
        <v>0.28499999999999998</v>
      </c>
    </row>
    <row r="23" spans="1:11" s="74" customFormat="1" ht="27.6" customHeight="1" x14ac:dyDescent="0.25">
      <c r="A23" s="140">
        <v>13</v>
      </c>
      <c r="B23" s="49" t="s">
        <v>2471</v>
      </c>
      <c r="C23" s="15" t="s">
        <v>38</v>
      </c>
      <c r="D23" s="7" t="s">
        <v>254</v>
      </c>
      <c r="E23" s="14" t="s">
        <v>1045</v>
      </c>
      <c r="F23" s="13" t="s">
        <v>1051</v>
      </c>
      <c r="G23" s="13">
        <v>4</v>
      </c>
      <c r="H23" s="10">
        <v>0.26400000000000001</v>
      </c>
      <c r="I23" s="10">
        <v>0.26400000000000001</v>
      </c>
      <c r="J23" s="10">
        <v>0</v>
      </c>
      <c r="K23" s="36">
        <f t="shared" si="0"/>
        <v>0.26400000000000001</v>
      </c>
    </row>
    <row r="24" spans="1:11" s="74" customFormat="1" ht="30" customHeight="1" x14ac:dyDescent="0.25">
      <c r="A24" s="140">
        <v>14</v>
      </c>
      <c r="B24" s="49" t="s">
        <v>2472</v>
      </c>
      <c r="C24" s="15" t="s">
        <v>39</v>
      </c>
      <c r="D24" s="7" t="s">
        <v>255</v>
      </c>
      <c r="E24" s="14" t="s">
        <v>1045</v>
      </c>
      <c r="F24" s="13" t="s">
        <v>1051</v>
      </c>
      <c r="G24" s="13">
        <v>3.5</v>
      </c>
      <c r="H24" s="10">
        <v>0.48</v>
      </c>
      <c r="I24" s="10">
        <v>0.48</v>
      </c>
      <c r="J24" s="10">
        <v>0</v>
      </c>
      <c r="K24" s="36">
        <f t="shared" si="0"/>
        <v>0.48</v>
      </c>
    </row>
    <row r="25" spans="1:11" s="74" customFormat="1" ht="38.25" customHeight="1" x14ac:dyDescent="0.25">
      <c r="A25" s="140">
        <v>15</v>
      </c>
      <c r="B25" s="49" t="s">
        <v>2473</v>
      </c>
      <c r="C25" s="15" t="s">
        <v>39</v>
      </c>
      <c r="D25" s="7" t="s">
        <v>256</v>
      </c>
      <c r="E25" s="14" t="s">
        <v>1045</v>
      </c>
      <c r="F25" s="13" t="s">
        <v>1051</v>
      </c>
      <c r="G25" s="13">
        <v>3.5</v>
      </c>
      <c r="H25" s="10">
        <v>0.69299999999999995</v>
      </c>
      <c r="I25" s="10">
        <v>0.69299999999999995</v>
      </c>
      <c r="J25" s="10">
        <v>0</v>
      </c>
      <c r="K25" s="36">
        <f t="shared" si="0"/>
        <v>0.69299999999999995</v>
      </c>
    </row>
    <row r="26" spans="1:11" s="74" customFormat="1" ht="28.15" customHeight="1" x14ac:dyDescent="0.25">
      <c r="A26" s="140">
        <v>16</v>
      </c>
      <c r="B26" s="49" t="s">
        <v>2474</v>
      </c>
      <c r="C26" s="15" t="s">
        <v>39</v>
      </c>
      <c r="D26" s="7" t="s">
        <v>1624</v>
      </c>
      <c r="E26" s="14" t="s">
        <v>1045</v>
      </c>
      <c r="F26" s="13" t="s">
        <v>1051</v>
      </c>
      <c r="G26" s="13">
        <v>3.5</v>
      </c>
      <c r="H26" s="10">
        <v>1.6</v>
      </c>
      <c r="I26" s="10">
        <v>1.6</v>
      </c>
      <c r="J26" s="10">
        <v>0</v>
      </c>
      <c r="K26" s="36">
        <f t="shared" si="0"/>
        <v>1.6</v>
      </c>
    </row>
    <row r="27" spans="1:11" s="74" customFormat="1" ht="32.450000000000003" customHeight="1" x14ac:dyDescent="0.25">
      <c r="A27" s="140">
        <v>17</v>
      </c>
      <c r="B27" s="49" t="s">
        <v>2475</v>
      </c>
      <c r="C27" s="15" t="s">
        <v>39</v>
      </c>
      <c r="D27" s="7" t="s">
        <v>257</v>
      </c>
      <c r="E27" s="14" t="s">
        <v>1045</v>
      </c>
      <c r="F27" s="13" t="s">
        <v>1051</v>
      </c>
      <c r="G27" s="13">
        <v>4</v>
      </c>
      <c r="H27" s="10">
        <v>0.66300000000000003</v>
      </c>
      <c r="I27" s="10">
        <v>0.66300000000000003</v>
      </c>
      <c r="J27" s="10">
        <v>0</v>
      </c>
      <c r="K27" s="36">
        <f t="shared" si="0"/>
        <v>0.66300000000000003</v>
      </c>
    </row>
    <row r="28" spans="1:11" s="74" customFormat="1" ht="31.9" customHeight="1" x14ac:dyDescent="0.25">
      <c r="A28" s="140">
        <v>18</v>
      </c>
      <c r="B28" s="49" t="s">
        <v>2476</v>
      </c>
      <c r="C28" s="15" t="s">
        <v>39</v>
      </c>
      <c r="D28" s="7" t="s">
        <v>258</v>
      </c>
      <c r="E28" s="14" t="s">
        <v>1045</v>
      </c>
      <c r="F28" s="13" t="s">
        <v>1051</v>
      </c>
      <c r="G28" s="13">
        <v>3.5</v>
      </c>
      <c r="H28" s="10">
        <v>0.28000000000000003</v>
      </c>
      <c r="I28" s="10">
        <v>0.28000000000000003</v>
      </c>
      <c r="J28" s="10">
        <v>0</v>
      </c>
      <c r="K28" s="36">
        <f t="shared" si="0"/>
        <v>0.28000000000000003</v>
      </c>
    </row>
    <row r="29" spans="1:11" s="74" customFormat="1" ht="30.6" customHeight="1" x14ac:dyDescent="0.25">
      <c r="A29" s="140">
        <v>19</v>
      </c>
      <c r="B29" s="49" t="s">
        <v>2477</v>
      </c>
      <c r="C29" s="15" t="s">
        <v>39</v>
      </c>
      <c r="D29" s="7" t="s">
        <v>259</v>
      </c>
      <c r="E29" s="14" t="s">
        <v>1045</v>
      </c>
      <c r="F29" s="13" t="s">
        <v>1051</v>
      </c>
      <c r="G29" s="13">
        <v>4</v>
      </c>
      <c r="H29" s="10">
        <v>2.544</v>
      </c>
      <c r="I29" s="10">
        <v>1.5840000000000001</v>
      </c>
      <c r="J29" s="10">
        <v>0</v>
      </c>
      <c r="K29" s="36">
        <f t="shared" si="0"/>
        <v>2.544</v>
      </c>
    </row>
    <row r="30" spans="1:11" s="74" customFormat="1" ht="29.45" customHeight="1" x14ac:dyDescent="0.25">
      <c r="A30" s="140">
        <v>20</v>
      </c>
      <c r="B30" s="49" t="s">
        <v>2478</v>
      </c>
      <c r="C30" s="15" t="s">
        <v>39</v>
      </c>
      <c r="D30" s="7" t="s">
        <v>260</v>
      </c>
      <c r="E30" s="14" t="s">
        <v>1045</v>
      </c>
      <c r="F30" s="13" t="s">
        <v>1051</v>
      </c>
      <c r="G30" s="13">
        <v>3.5</v>
      </c>
      <c r="H30" s="10">
        <v>0.66500000000000004</v>
      </c>
      <c r="I30" s="10">
        <v>0.66500000000000004</v>
      </c>
      <c r="J30" s="10">
        <v>0</v>
      </c>
      <c r="K30" s="36">
        <f t="shared" si="0"/>
        <v>0.66500000000000004</v>
      </c>
    </row>
    <row r="31" spans="1:11" s="74" customFormat="1" ht="37.5" customHeight="1" x14ac:dyDescent="0.25">
      <c r="A31" s="140">
        <v>21</v>
      </c>
      <c r="B31" s="49" t="s">
        <v>2479</v>
      </c>
      <c r="C31" s="15" t="s">
        <v>38</v>
      </c>
      <c r="D31" s="7" t="s">
        <v>261</v>
      </c>
      <c r="E31" s="14" t="s">
        <v>1045</v>
      </c>
      <c r="F31" s="13" t="s">
        <v>1051</v>
      </c>
      <c r="G31" s="13">
        <v>4.5</v>
      </c>
      <c r="H31" s="10">
        <v>0.84099999999999997</v>
      </c>
      <c r="I31" s="10">
        <v>0.84099999999999997</v>
      </c>
      <c r="J31" s="10">
        <v>0</v>
      </c>
      <c r="K31" s="36">
        <f t="shared" si="0"/>
        <v>0.84099999999999997</v>
      </c>
    </row>
    <row r="32" spans="1:11" s="74" customFormat="1" ht="26.45" customHeight="1" x14ac:dyDescent="0.25">
      <c r="A32" s="140">
        <v>22</v>
      </c>
      <c r="B32" s="49" t="s">
        <v>2480</v>
      </c>
      <c r="C32" s="15" t="s">
        <v>39</v>
      </c>
      <c r="D32" s="7" t="s">
        <v>262</v>
      </c>
      <c r="E32" s="14" t="s">
        <v>1045</v>
      </c>
      <c r="F32" s="13" t="s">
        <v>1051</v>
      </c>
      <c r="G32" s="13">
        <v>4.5</v>
      </c>
      <c r="H32" s="10">
        <v>1.21</v>
      </c>
      <c r="I32" s="10">
        <v>1.21</v>
      </c>
      <c r="J32" s="10">
        <v>0</v>
      </c>
      <c r="K32" s="36">
        <f t="shared" si="0"/>
        <v>1.21</v>
      </c>
    </row>
    <row r="33" spans="1:11" s="74" customFormat="1" ht="30" customHeight="1" x14ac:dyDescent="0.25">
      <c r="A33" s="140">
        <v>23</v>
      </c>
      <c r="B33" s="49" t="s">
        <v>2481</v>
      </c>
      <c r="C33" s="15" t="s">
        <v>39</v>
      </c>
      <c r="D33" s="7" t="s">
        <v>263</v>
      </c>
      <c r="E33" s="14" t="s">
        <v>1045</v>
      </c>
      <c r="F33" s="13" t="s">
        <v>1051</v>
      </c>
      <c r="G33" s="13">
        <v>4</v>
      </c>
      <c r="H33" s="10">
        <v>1.79</v>
      </c>
      <c r="I33" s="10">
        <v>1.79</v>
      </c>
      <c r="J33" s="10">
        <v>0</v>
      </c>
      <c r="K33" s="36">
        <f t="shared" si="0"/>
        <v>1.79</v>
      </c>
    </row>
    <row r="34" spans="1:11" s="74" customFormat="1" ht="39.75" customHeight="1" x14ac:dyDescent="0.25">
      <c r="A34" s="140">
        <v>24</v>
      </c>
      <c r="B34" s="49" t="s">
        <v>2482</v>
      </c>
      <c r="C34" s="15" t="s">
        <v>38</v>
      </c>
      <c r="D34" s="7" t="s">
        <v>264</v>
      </c>
      <c r="E34" s="14" t="s">
        <v>1045</v>
      </c>
      <c r="F34" s="13" t="s">
        <v>1051</v>
      </c>
      <c r="G34" s="13">
        <v>3.5</v>
      </c>
      <c r="H34" s="10">
        <v>0.16</v>
      </c>
      <c r="I34" s="10">
        <v>0.16</v>
      </c>
      <c r="J34" s="10">
        <v>0.73499999999999999</v>
      </c>
      <c r="K34" s="36">
        <f t="shared" si="0"/>
        <v>0.89500000000000002</v>
      </c>
    </row>
    <row r="35" spans="1:11" s="74" customFormat="1" ht="39.75" customHeight="1" x14ac:dyDescent="0.25">
      <c r="A35" s="140">
        <v>25</v>
      </c>
      <c r="B35" s="49" t="s">
        <v>2483</v>
      </c>
      <c r="C35" s="15" t="s">
        <v>38</v>
      </c>
      <c r="D35" s="7" t="s">
        <v>1047</v>
      </c>
      <c r="E35" s="14" t="s">
        <v>1045</v>
      </c>
      <c r="F35" s="13" t="s">
        <v>1051</v>
      </c>
      <c r="G35" s="13">
        <v>3</v>
      </c>
      <c r="H35" s="10">
        <v>0.222</v>
      </c>
      <c r="I35" s="10">
        <v>0.222</v>
      </c>
      <c r="J35" s="10">
        <v>0</v>
      </c>
      <c r="K35" s="36">
        <f t="shared" si="0"/>
        <v>0.222</v>
      </c>
    </row>
    <row r="36" spans="1:11" s="74" customFormat="1" ht="39.75" customHeight="1" x14ac:dyDescent="0.25">
      <c r="A36" s="140">
        <v>26</v>
      </c>
      <c r="B36" s="49" t="s">
        <v>2484</v>
      </c>
      <c r="C36" s="15" t="s">
        <v>38</v>
      </c>
      <c r="D36" s="7" t="s">
        <v>265</v>
      </c>
      <c r="E36" s="14" t="s">
        <v>1045</v>
      </c>
      <c r="F36" s="13" t="s">
        <v>1051</v>
      </c>
      <c r="G36" s="13">
        <v>4</v>
      </c>
      <c r="H36" s="10">
        <v>0</v>
      </c>
      <c r="I36" s="10">
        <v>0</v>
      </c>
      <c r="J36" s="10">
        <v>0.63200000000000001</v>
      </c>
      <c r="K36" s="36">
        <f t="shared" si="0"/>
        <v>0.63200000000000001</v>
      </c>
    </row>
    <row r="37" spans="1:11" s="74" customFormat="1" ht="27" customHeight="1" x14ac:dyDescent="0.25">
      <c r="A37" s="140">
        <v>27</v>
      </c>
      <c r="B37" s="49" t="s">
        <v>2485</v>
      </c>
      <c r="C37" s="15" t="s">
        <v>39</v>
      </c>
      <c r="D37" s="7" t="s">
        <v>266</v>
      </c>
      <c r="E37" s="14" t="s">
        <v>1045</v>
      </c>
      <c r="F37" s="13" t="s">
        <v>1051</v>
      </c>
      <c r="G37" s="13">
        <v>3.5</v>
      </c>
      <c r="H37" s="10">
        <f>0.214+0.165</f>
        <v>0.379</v>
      </c>
      <c r="I37" s="10">
        <v>0</v>
      </c>
      <c r="J37" s="10">
        <v>0</v>
      </c>
      <c r="K37" s="36">
        <f t="shared" si="0"/>
        <v>0.379</v>
      </c>
    </row>
    <row r="38" spans="1:11" s="74" customFormat="1" ht="26.45" customHeight="1" x14ac:dyDescent="0.25">
      <c r="A38" s="140">
        <v>28</v>
      </c>
      <c r="B38" s="49" t="s">
        <v>2486</v>
      </c>
      <c r="C38" s="15" t="s">
        <v>39</v>
      </c>
      <c r="D38" s="7" t="s">
        <v>267</v>
      </c>
      <c r="E38" s="14" t="s">
        <v>1045</v>
      </c>
      <c r="F38" s="13" t="s">
        <v>1051</v>
      </c>
      <c r="G38" s="13">
        <v>4.5</v>
      </c>
      <c r="H38" s="10">
        <f>1.368+0.146</f>
        <v>1.514</v>
      </c>
      <c r="I38" s="10">
        <v>0.82799999999999996</v>
      </c>
      <c r="J38" s="10">
        <v>0</v>
      </c>
      <c r="K38" s="36">
        <f t="shared" si="0"/>
        <v>1.514</v>
      </c>
    </row>
    <row r="39" spans="1:11" s="74" customFormat="1" ht="26.45" customHeight="1" x14ac:dyDescent="0.25">
      <c r="A39" s="140">
        <v>29</v>
      </c>
      <c r="B39" s="49" t="s">
        <v>2487</v>
      </c>
      <c r="C39" s="15" t="s">
        <v>39</v>
      </c>
      <c r="D39" s="7" t="s">
        <v>268</v>
      </c>
      <c r="E39" s="14" t="s">
        <v>1045</v>
      </c>
      <c r="F39" s="13" t="s">
        <v>1051</v>
      </c>
      <c r="G39" s="13">
        <v>4.5</v>
      </c>
      <c r="H39" s="10">
        <v>0.96</v>
      </c>
      <c r="I39" s="10">
        <v>0.96</v>
      </c>
      <c r="J39" s="10">
        <v>0</v>
      </c>
      <c r="K39" s="36">
        <f t="shared" si="0"/>
        <v>0.96</v>
      </c>
    </row>
    <row r="40" spans="1:11" s="74" customFormat="1" ht="27.6" customHeight="1" x14ac:dyDescent="0.25">
      <c r="A40" s="140">
        <v>30</v>
      </c>
      <c r="B40" s="49" t="s">
        <v>2488</v>
      </c>
      <c r="C40" s="15" t="s">
        <v>39</v>
      </c>
      <c r="D40" s="7" t="s">
        <v>269</v>
      </c>
      <c r="E40" s="14" t="s">
        <v>1045</v>
      </c>
      <c r="F40" s="13" t="s">
        <v>1051</v>
      </c>
      <c r="G40" s="13">
        <v>3.5</v>
      </c>
      <c r="H40" s="10">
        <v>0.83799999999999997</v>
      </c>
      <c r="I40" s="10">
        <v>0.45</v>
      </c>
      <c r="J40" s="10">
        <v>0</v>
      </c>
      <c r="K40" s="36">
        <f t="shared" si="0"/>
        <v>0.83799999999999997</v>
      </c>
    </row>
    <row r="41" spans="1:11" s="74" customFormat="1" ht="33" customHeight="1" x14ac:dyDescent="0.25">
      <c r="A41" s="140">
        <v>31</v>
      </c>
      <c r="B41" s="49" t="s">
        <v>2489</v>
      </c>
      <c r="C41" s="15" t="s">
        <v>38</v>
      </c>
      <c r="D41" s="7" t="s">
        <v>270</v>
      </c>
      <c r="E41" s="14" t="s">
        <v>1045</v>
      </c>
      <c r="F41" s="13" t="s">
        <v>1051</v>
      </c>
      <c r="G41" s="13">
        <v>3.5</v>
      </c>
      <c r="H41" s="10">
        <v>0.13400000000000001</v>
      </c>
      <c r="I41" s="10">
        <v>0.13400000000000001</v>
      </c>
      <c r="J41" s="10">
        <v>0</v>
      </c>
      <c r="K41" s="36">
        <f t="shared" si="0"/>
        <v>0.13400000000000001</v>
      </c>
    </row>
    <row r="42" spans="1:11" s="74" customFormat="1" ht="26.45" customHeight="1" x14ac:dyDescent="0.25">
      <c r="A42" s="140">
        <v>32</v>
      </c>
      <c r="B42" s="49" t="s">
        <v>2490</v>
      </c>
      <c r="C42" s="15" t="s">
        <v>39</v>
      </c>
      <c r="D42" s="7" t="s">
        <v>271</v>
      </c>
      <c r="E42" s="14" t="s">
        <v>1045</v>
      </c>
      <c r="F42" s="13" t="s">
        <v>1051</v>
      </c>
      <c r="G42" s="13">
        <v>4</v>
      </c>
      <c r="H42" s="10">
        <v>1.61</v>
      </c>
      <c r="I42" s="10">
        <v>1.61</v>
      </c>
      <c r="J42" s="10">
        <v>0</v>
      </c>
      <c r="K42" s="36">
        <f t="shared" si="0"/>
        <v>1.61</v>
      </c>
    </row>
    <row r="43" spans="1:11" s="74" customFormat="1" ht="30" customHeight="1" x14ac:dyDescent="0.25">
      <c r="A43" s="140">
        <v>33</v>
      </c>
      <c r="B43" s="49" t="s">
        <v>2491</v>
      </c>
      <c r="C43" s="15" t="s">
        <v>976</v>
      </c>
      <c r="D43" s="7" t="s">
        <v>272</v>
      </c>
      <c r="E43" s="14" t="s">
        <v>1045</v>
      </c>
      <c r="F43" s="13" t="s">
        <v>1051</v>
      </c>
      <c r="G43" s="13">
        <v>3.5</v>
      </c>
      <c r="H43" s="10">
        <v>0.76900000000000002</v>
      </c>
      <c r="I43" s="10">
        <v>0.76900000000000002</v>
      </c>
      <c r="J43" s="10">
        <v>0</v>
      </c>
      <c r="K43" s="36">
        <f t="shared" si="0"/>
        <v>0.76900000000000002</v>
      </c>
    </row>
    <row r="44" spans="1:11" s="74" customFormat="1" ht="33.75" customHeight="1" x14ac:dyDescent="0.25">
      <c r="A44" s="140">
        <v>34</v>
      </c>
      <c r="B44" s="49" t="s">
        <v>2492</v>
      </c>
      <c r="C44" s="15" t="s">
        <v>38</v>
      </c>
      <c r="D44" s="7" t="s">
        <v>273</v>
      </c>
      <c r="E44" s="14" t="s">
        <v>1045</v>
      </c>
      <c r="F44" s="13" t="s">
        <v>1051</v>
      </c>
      <c r="G44" s="13">
        <v>3.5</v>
      </c>
      <c r="H44" s="10">
        <v>0.24</v>
      </c>
      <c r="I44" s="10">
        <v>0</v>
      </c>
      <c r="J44" s="10">
        <v>0</v>
      </c>
      <c r="K44" s="36">
        <f t="shared" si="0"/>
        <v>0.24</v>
      </c>
    </row>
    <row r="45" spans="1:11" s="74" customFormat="1" ht="33.75" customHeight="1" x14ac:dyDescent="0.25">
      <c r="A45" s="140">
        <v>35</v>
      </c>
      <c r="B45" s="49" t="s">
        <v>2493</v>
      </c>
      <c r="C45" s="15" t="s">
        <v>38</v>
      </c>
      <c r="D45" s="7" t="s">
        <v>274</v>
      </c>
      <c r="E45" s="14" t="s">
        <v>1045</v>
      </c>
      <c r="F45" s="13" t="s">
        <v>1051</v>
      </c>
      <c r="G45" s="13">
        <v>4.5</v>
      </c>
      <c r="H45" s="10">
        <v>0.45600000000000002</v>
      </c>
      <c r="I45" s="10">
        <v>0</v>
      </c>
      <c r="J45" s="10">
        <v>0</v>
      </c>
      <c r="K45" s="36">
        <f t="shared" si="0"/>
        <v>0.45600000000000002</v>
      </c>
    </row>
    <row r="46" spans="1:11" s="74" customFormat="1" ht="31.9" customHeight="1" x14ac:dyDescent="0.25">
      <c r="A46" s="140">
        <v>36</v>
      </c>
      <c r="B46" s="49" t="s">
        <v>2494</v>
      </c>
      <c r="C46" s="15" t="s">
        <v>39</v>
      </c>
      <c r="D46" s="7" t="s">
        <v>275</v>
      </c>
      <c r="E46" s="14" t="s">
        <v>1045</v>
      </c>
      <c r="F46" s="13" t="s">
        <v>1051</v>
      </c>
      <c r="G46" s="13">
        <v>4.5</v>
      </c>
      <c r="H46" s="10">
        <v>0.435</v>
      </c>
      <c r="I46" s="10">
        <v>0.435</v>
      </c>
      <c r="J46" s="10">
        <v>0</v>
      </c>
      <c r="K46" s="36">
        <f t="shared" si="0"/>
        <v>0.435</v>
      </c>
    </row>
    <row r="47" spans="1:11" s="74" customFormat="1" ht="35.450000000000003" customHeight="1" x14ac:dyDescent="0.25">
      <c r="A47" s="140">
        <v>37</v>
      </c>
      <c r="B47" s="49" t="s">
        <v>2495</v>
      </c>
      <c r="C47" s="15" t="s">
        <v>39</v>
      </c>
      <c r="D47" s="7" t="s">
        <v>276</v>
      </c>
      <c r="E47" s="14" t="s">
        <v>1045</v>
      </c>
      <c r="F47" s="13" t="s">
        <v>1051</v>
      </c>
      <c r="G47" s="13">
        <v>4</v>
      </c>
      <c r="H47" s="10">
        <f>0.586+0.195</f>
        <v>0.78099999999999992</v>
      </c>
      <c r="I47" s="10">
        <v>0.58599999999999997</v>
      </c>
      <c r="J47" s="10">
        <v>0</v>
      </c>
      <c r="K47" s="36">
        <f t="shared" si="0"/>
        <v>0.78099999999999992</v>
      </c>
    </row>
    <row r="48" spans="1:11" s="74" customFormat="1" ht="28.9" customHeight="1" x14ac:dyDescent="0.25">
      <c r="A48" s="140">
        <v>38</v>
      </c>
      <c r="B48" s="49" t="s">
        <v>2496</v>
      </c>
      <c r="C48" s="15" t="s">
        <v>39</v>
      </c>
      <c r="D48" s="7" t="s">
        <v>277</v>
      </c>
      <c r="E48" s="14" t="s">
        <v>1045</v>
      </c>
      <c r="F48" s="13" t="s">
        <v>1051</v>
      </c>
      <c r="G48" s="13">
        <v>4</v>
      </c>
      <c r="H48" s="10">
        <v>1.905</v>
      </c>
      <c r="I48" s="10">
        <v>1.665</v>
      </c>
      <c r="J48" s="10">
        <v>0</v>
      </c>
      <c r="K48" s="36">
        <f t="shared" si="0"/>
        <v>1.905</v>
      </c>
    </row>
    <row r="49" spans="1:11" s="74" customFormat="1" ht="28.9" customHeight="1" x14ac:dyDescent="0.25">
      <c r="A49" s="140">
        <v>39</v>
      </c>
      <c r="B49" s="49" t="s">
        <v>2497</v>
      </c>
      <c r="C49" s="15" t="s">
        <v>39</v>
      </c>
      <c r="D49" s="7" t="s">
        <v>278</v>
      </c>
      <c r="E49" s="14" t="s">
        <v>1045</v>
      </c>
      <c r="F49" s="13" t="s">
        <v>1051</v>
      </c>
      <c r="G49" s="13">
        <v>3.5</v>
      </c>
      <c r="H49" s="10">
        <v>0.53</v>
      </c>
      <c r="I49" s="10">
        <v>0</v>
      </c>
      <c r="J49" s="10">
        <v>0</v>
      </c>
      <c r="K49" s="36">
        <f t="shared" si="0"/>
        <v>0.53</v>
      </c>
    </row>
    <row r="50" spans="1:11" s="74" customFormat="1" ht="39.75" customHeight="1" x14ac:dyDescent="0.25">
      <c r="A50" s="140">
        <v>40</v>
      </c>
      <c r="B50" s="49" t="s">
        <v>2498</v>
      </c>
      <c r="C50" s="15" t="s">
        <v>38</v>
      </c>
      <c r="D50" s="7" t="s">
        <v>279</v>
      </c>
      <c r="E50" s="14" t="s">
        <v>1045</v>
      </c>
      <c r="F50" s="13" t="s">
        <v>1051</v>
      </c>
      <c r="G50" s="13">
        <v>3.5</v>
      </c>
      <c r="H50" s="10">
        <v>0.124</v>
      </c>
      <c r="I50" s="10">
        <v>0.124</v>
      </c>
      <c r="J50" s="10">
        <v>0</v>
      </c>
      <c r="K50" s="36">
        <f t="shared" si="0"/>
        <v>0.124</v>
      </c>
    </row>
    <row r="51" spans="1:11" s="74" customFormat="1" ht="37.5" customHeight="1" x14ac:dyDescent="0.25">
      <c r="A51" s="140">
        <v>41</v>
      </c>
      <c r="B51" s="49" t="s">
        <v>2499</v>
      </c>
      <c r="C51" s="15" t="s">
        <v>38</v>
      </c>
      <c r="D51" s="7" t="s">
        <v>280</v>
      </c>
      <c r="E51" s="14" t="s">
        <v>1045</v>
      </c>
      <c r="F51" s="13" t="s">
        <v>1051</v>
      </c>
      <c r="G51" s="13">
        <v>3.5</v>
      </c>
      <c r="H51" s="10">
        <v>0.251</v>
      </c>
      <c r="I51" s="10">
        <v>0</v>
      </c>
      <c r="J51" s="10">
        <v>0</v>
      </c>
      <c r="K51" s="36">
        <f t="shared" si="0"/>
        <v>0.251</v>
      </c>
    </row>
    <row r="52" spans="1:11" s="74" customFormat="1" ht="28.15" customHeight="1" x14ac:dyDescent="0.25">
      <c r="A52" s="140">
        <v>42</v>
      </c>
      <c r="B52" s="49" t="s">
        <v>2500</v>
      </c>
      <c r="C52" s="15" t="s">
        <v>39</v>
      </c>
      <c r="D52" s="7" t="s">
        <v>281</v>
      </c>
      <c r="E52" s="14" t="s">
        <v>1045</v>
      </c>
      <c r="F52" s="13" t="s">
        <v>1051</v>
      </c>
      <c r="G52" s="13">
        <v>4</v>
      </c>
      <c r="H52" s="10">
        <f>0.535+0.285</f>
        <v>0.82000000000000006</v>
      </c>
      <c r="I52" s="10">
        <v>0</v>
      </c>
      <c r="J52" s="10">
        <v>0</v>
      </c>
      <c r="K52" s="36">
        <f t="shared" si="0"/>
        <v>0.82000000000000006</v>
      </c>
    </row>
    <row r="53" spans="1:11" s="74" customFormat="1" ht="32.450000000000003" customHeight="1" x14ac:dyDescent="0.25">
      <c r="A53" s="140">
        <v>43</v>
      </c>
      <c r="B53" s="49" t="s">
        <v>2501</v>
      </c>
      <c r="C53" s="15" t="s">
        <v>38</v>
      </c>
      <c r="D53" s="7" t="s">
        <v>282</v>
      </c>
      <c r="E53" s="14" t="s">
        <v>1045</v>
      </c>
      <c r="F53" s="13" t="s">
        <v>1051</v>
      </c>
      <c r="G53" s="13">
        <v>3.5</v>
      </c>
      <c r="H53" s="10">
        <v>0.51200000000000001</v>
      </c>
      <c r="I53" s="10">
        <v>0.51200000000000001</v>
      </c>
      <c r="J53" s="10">
        <v>0</v>
      </c>
      <c r="K53" s="36">
        <f t="shared" si="0"/>
        <v>0.51200000000000001</v>
      </c>
    </row>
    <row r="54" spans="1:11" s="74" customFormat="1" ht="31.15" customHeight="1" x14ac:dyDescent="0.25">
      <c r="A54" s="140">
        <v>44</v>
      </c>
      <c r="B54" s="49" t="s">
        <v>2502</v>
      </c>
      <c r="C54" s="15" t="s">
        <v>39</v>
      </c>
      <c r="D54" s="7" t="s">
        <v>283</v>
      </c>
      <c r="E54" s="14" t="s">
        <v>1045</v>
      </c>
      <c r="F54" s="13" t="s">
        <v>1051</v>
      </c>
      <c r="G54" s="13">
        <v>3.5</v>
      </c>
      <c r="H54" s="10">
        <v>0.52500000000000002</v>
      </c>
      <c r="I54" s="10">
        <v>0.52500000000000002</v>
      </c>
      <c r="J54" s="10">
        <v>0</v>
      </c>
      <c r="K54" s="36">
        <f t="shared" si="0"/>
        <v>0.52500000000000002</v>
      </c>
    </row>
    <row r="55" spans="1:11" s="74" customFormat="1" ht="33" customHeight="1" x14ac:dyDescent="0.25">
      <c r="A55" s="140">
        <v>45</v>
      </c>
      <c r="B55" s="49" t="s">
        <v>2503</v>
      </c>
      <c r="C55" s="15" t="s">
        <v>38</v>
      </c>
      <c r="D55" s="7" t="s">
        <v>284</v>
      </c>
      <c r="E55" s="14" t="s">
        <v>1045</v>
      </c>
      <c r="F55" s="13" t="s">
        <v>1051</v>
      </c>
      <c r="G55" s="13">
        <v>3.5</v>
      </c>
      <c r="H55" s="10">
        <v>0</v>
      </c>
      <c r="I55" s="10">
        <v>0</v>
      </c>
      <c r="J55" s="10">
        <v>1.611</v>
      </c>
      <c r="K55" s="36">
        <f t="shared" si="0"/>
        <v>1.611</v>
      </c>
    </row>
    <row r="56" spans="1:11" s="74" customFormat="1" ht="36.75" customHeight="1" x14ac:dyDescent="0.25">
      <c r="A56" s="140">
        <v>46</v>
      </c>
      <c r="B56" s="49" t="s">
        <v>2504</v>
      </c>
      <c r="C56" s="15" t="s">
        <v>38</v>
      </c>
      <c r="D56" s="7" t="s">
        <v>285</v>
      </c>
      <c r="E56" s="14" t="s">
        <v>1045</v>
      </c>
      <c r="F56" s="13" t="s">
        <v>1051</v>
      </c>
      <c r="G56" s="13">
        <v>3.5</v>
      </c>
      <c r="H56" s="10">
        <v>0</v>
      </c>
      <c r="I56" s="10">
        <v>0</v>
      </c>
      <c r="J56" s="10">
        <v>0.24399999999999999</v>
      </c>
      <c r="K56" s="36">
        <f t="shared" si="0"/>
        <v>0.24399999999999999</v>
      </c>
    </row>
    <row r="57" spans="1:11" s="74" customFormat="1" ht="37.5" customHeight="1" x14ac:dyDescent="0.25">
      <c r="A57" s="140">
        <v>47</v>
      </c>
      <c r="B57" s="49" t="s">
        <v>2505</v>
      </c>
      <c r="C57" s="15" t="s">
        <v>38</v>
      </c>
      <c r="D57" s="7" t="s">
        <v>286</v>
      </c>
      <c r="E57" s="14" t="s">
        <v>1045</v>
      </c>
      <c r="F57" s="13" t="s">
        <v>1051</v>
      </c>
      <c r="G57" s="13">
        <v>3.5</v>
      </c>
      <c r="H57" s="10">
        <v>0</v>
      </c>
      <c r="I57" s="10">
        <v>0</v>
      </c>
      <c r="J57" s="10">
        <v>0.69</v>
      </c>
      <c r="K57" s="36">
        <f t="shared" si="0"/>
        <v>0.69</v>
      </c>
    </row>
    <row r="58" spans="1:11" s="74" customFormat="1" ht="36.75" customHeight="1" x14ac:dyDescent="0.25">
      <c r="A58" s="140">
        <v>48</v>
      </c>
      <c r="B58" s="49" t="s">
        <v>2506</v>
      </c>
      <c r="C58" s="15" t="s">
        <v>38</v>
      </c>
      <c r="D58" s="7" t="s">
        <v>287</v>
      </c>
      <c r="E58" s="14" t="s">
        <v>1045</v>
      </c>
      <c r="F58" s="13" t="s">
        <v>1051</v>
      </c>
      <c r="G58" s="13">
        <v>3.5</v>
      </c>
      <c r="H58" s="10">
        <v>0</v>
      </c>
      <c r="I58" s="10">
        <v>0</v>
      </c>
      <c r="J58" s="10">
        <v>0.621</v>
      </c>
      <c r="K58" s="36">
        <f t="shared" si="0"/>
        <v>0.621</v>
      </c>
    </row>
    <row r="59" spans="1:11" s="74" customFormat="1" ht="31.5" customHeight="1" x14ac:dyDescent="0.25">
      <c r="A59" s="140">
        <v>49</v>
      </c>
      <c r="B59" s="49" t="s">
        <v>2507</v>
      </c>
      <c r="C59" s="15" t="s">
        <v>38</v>
      </c>
      <c r="D59" s="7" t="s">
        <v>288</v>
      </c>
      <c r="E59" s="14" t="s">
        <v>1045</v>
      </c>
      <c r="F59" s="13" t="s">
        <v>1051</v>
      </c>
      <c r="G59" s="13">
        <v>3.5</v>
      </c>
      <c r="H59" s="10">
        <v>0</v>
      </c>
      <c r="I59" s="10">
        <v>0</v>
      </c>
      <c r="J59" s="10">
        <v>0.56699999999999995</v>
      </c>
      <c r="K59" s="36">
        <f t="shared" si="0"/>
        <v>0.56699999999999995</v>
      </c>
    </row>
    <row r="60" spans="1:11" s="74" customFormat="1" ht="35.25" customHeight="1" x14ac:dyDescent="0.25">
      <c r="A60" s="140">
        <v>50</v>
      </c>
      <c r="B60" s="49" t="s">
        <v>2508</v>
      </c>
      <c r="C60" s="15" t="s">
        <v>38</v>
      </c>
      <c r="D60" s="7" t="s">
        <v>289</v>
      </c>
      <c r="E60" s="14" t="s">
        <v>1045</v>
      </c>
      <c r="F60" s="13" t="s">
        <v>1051</v>
      </c>
      <c r="G60" s="13">
        <v>3.5</v>
      </c>
      <c r="H60" s="10">
        <v>0</v>
      </c>
      <c r="I60" s="10">
        <v>0</v>
      </c>
      <c r="J60" s="10">
        <v>7.0579999999999998</v>
      </c>
      <c r="K60" s="36">
        <f t="shared" si="0"/>
        <v>7.0579999999999998</v>
      </c>
    </row>
    <row r="61" spans="1:11" s="74" customFormat="1" ht="34.9" customHeight="1" x14ac:dyDescent="0.25">
      <c r="A61" s="140">
        <v>51</v>
      </c>
      <c r="B61" s="49" t="s">
        <v>2509</v>
      </c>
      <c r="C61" s="15" t="s">
        <v>38</v>
      </c>
      <c r="D61" s="7" t="s">
        <v>290</v>
      </c>
      <c r="E61" s="14" t="s">
        <v>1045</v>
      </c>
      <c r="F61" s="13" t="s">
        <v>1051</v>
      </c>
      <c r="G61" s="13">
        <v>3.5</v>
      </c>
      <c r="H61" s="10">
        <v>0</v>
      </c>
      <c r="I61" s="10">
        <v>0</v>
      </c>
      <c r="J61" s="10">
        <v>0.67</v>
      </c>
      <c r="K61" s="36">
        <f t="shared" si="0"/>
        <v>0.67</v>
      </c>
    </row>
    <row r="62" spans="1:11" s="74" customFormat="1" ht="23.25" customHeight="1" x14ac:dyDescent="0.25">
      <c r="A62" s="140">
        <v>52</v>
      </c>
      <c r="B62" s="49" t="s">
        <v>2510</v>
      </c>
      <c r="C62" s="15" t="s">
        <v>38</v>
      </c>
      <c r="D62" s="7" t="s">
        <v>291</v>
      </c>
      <c r="E62" s="14" t="s">
        <v>1045</v>
      </c>
      <c r="F62" s="13" t="s">
        <v>1051</v>
      </c>
      <c r="G62" s="13">
        <v>3.5</v>
      </c>
      <c r="H62" s="10">
        <v>0</v>
      </c>
      <c r="I62" s="10">
        <v>0</v>
      </c>
      <c r="J62" s="10">
        <v>2.97</v>
      </c>
      <c r="K62" s="36">
        <f t="shared" si="0"/>
        <v>2.97</v>
      </c>
    </row>
    <row r="63" spans="1:11" s="74" customFormat="1" ht="33.75" customHeight="1" x14ac:dyDescent="0.25">
      <c r="A63" s="140">
        <v>53</v>
      </c>
      <c r="B63" s="49" t="s">
        <v>2511</v>
      </c>
      <c r="C63" s="15" t="s">
        <v>38</v>
      </c>
      <c r="D63" s="7" t="s">
        <v>292</v>
      </c>
      <c r="E63" s="14" t="s">
        <v>1045</v>
      </c>
      <c r="F63" s="13" t="s">
        <v>1051</v>
      </c>
      <c r="G63" s="13">
        <v>3.5</v>
      </c>
      <c r="H63" s="10">
        <v>0</v>
      </c>
      <c r="I63" s="10">
        <v>0</v>
      </c>
      <c r="J63" s="10">
        <v>1.73</v>
      </c>
      <c r="K63" s="36">
        <f t="shared" si="0"/>
        <v>1.73</v>
      </c>
    </row>
    <row r="64" spans="1:11" s="74" customFormat="1" ht="39" customHeight="1" x14ac:dyDescent="0.25">
      <c r="A64" s="140">
        <v>54</v>
      </c>
      <c r="B64" s="49" t="s">
        <v>2512</v>
      </c>
      <c r="C64" s="15" t="s">
        <v>38</v>
      </c>
      <c r="D64" s="7" t="s">
        <v>293</v>
      </c>
      <c r="E64" s="14" t="s">
        <v>1045</v>
      </c>
      <c r="F64" s="13" t="s">
        <v>1051</v>
      </c>
      <c r="G64" s="13">
        <v>3.5</v>
      </c>
      <c r="H64" s="10">
        <v>0</v>
      </c>
      <c r="I64" s="10">
        <v>0</v>
      </c>
      <c r="J64" s="10">
        <v>6.7649999999999997</v>
      </c>
      <c r="K64" s="36">
        <f t="shared" si="0"/>
        <v>6.7649999999999997</v>
      </c>
    </row>
    <row r="65" spans="1:11" s="74" customFormat="1" ht="38.25" customHeight="1" x14ac:dyDescent="0.25">
      <c r="A65" s="140">
        <v>55</v>
      </c>
      <c r="B65" s="49" t="s">
        <v>2513</v>
      </c>
      <c r="C65" s="15" t="s">
        <v>38</v>
      </c>
      <c r="D65" s="7" t="s">
        <v>294</v>
      </c>
      <c r="E65" s="14" t="s">
        <v>1045</v>
      </c>
      <c r="F65" s="13" t="s">
        <v>1051</v>
      </c>
      <c r="G65" s="13">
        <v>3.5</v>
      </c>
      <c r="H65" s="10">
        <v>0</v>
      </c>
      <c r="I65" s="10">
        <v>0</v>
      </c>
      <c r="J65" s="10">
        <v>12.182</v>
      </c>
      <c r="K65" s="36">
        <f t="shared" si="0"/>
        <v>12.182</v>
      </c>
    </row>
    <row r="66" spans="1:11" s="74" customFormat="1" ht="41.25" customHeight="1" x14ac:dyDescent="0.25">
      <c r="A66" s="140">
        <v>56</v>
      </c>
      <c r="B66" s="49" t="s">
        <v>2514</v>
      </c>
      <c r="C66" s="15" t="s">
        <v>38</v>
      </c>
      <c r="D66" s="7" t="s">
        <v>295</v>
      </c>
      <c r="E66" s="14" t="s">
        <v>1045</v>
      </c>
      <c r="F66" s="13" t="s">
        <v>1051</v>
      </c>
      <c r="G66" s="13">
        <v>3.5</v>
      </c>
      <c r="H66" s="10">
        <v>8.3279999999999994</v>
      </c>
      <c r="I66" s="10">
        <v>0</v>
      </c>
      <c r="J66" s="10">
        <v>0</v>
      </c>
      <c r="K66" s="36">
        <f t="shared" si="0"/>
        <v>8.3279999999999994</v>
      </c>
    </row>
    <row r="67" spans="1:11" s="74" customFormat="1" ht="30" customHeight="1" x14ac:dyDescent="0.25">
      <c r="A67" s="140">
        <v>57</v>
      </c>
      <c r="B67" s="49" t="s">
        <v>2515</v>
      </c>
      <c r="C67" s="15" t="s">
        <v>38</v>
      </c>
      <c r="D67" s="7" t="s">
        <v>296</v>
      </c>
      <c r="E67" s="14" t="s">
        <v>1045</v>
      </c>
      <c r="F67" s="13" t="s">
        <v>1051</v>
      </c>
      <c r="G67" s="13">
        <v>3.5</v>
      </c>
      <c r="H67" s="10">
        <v>0</v>
      </c>
      <c r="I67" s="10">
        <v>0</v>
      </c>
      <c r="J67" s="10">
        <v>0.98</v>
      </c>
      <c r="K67" s="36">
        <f t="shared" si="0"/>
        <v>0.98</v>
      </c>
    </row>
    <row r="68" spans="1:11" s="74" customFormat="1" ht="30" customHeight="1" x14ac:dyDescent="0.25">
      <c r="A68" s="140">
        <v>58</v>
      </c>
      <c r="B68" s="49" t="s">
        <v>2516</v>
      </c>
      <c r="C68" s="15" t="s">
        <v>39</v>
      </c>
      <c r="D68" s="7" t="s">
        <v>297</v>
      </c>
      <c r="E68" s="14" t="s">
        <v>1045</v>
      </c>
      <c r="F68" s="13" t="s">
        <v>1051</v>
      </c>
      <c r="G68" s="13">
        <v>3.5</v>
      </c>
      <c r="H68" s="10">
        <v>1.4039999999999999</v>
      </c>
      <c r="I68" s="10">
        <v>0</v>
      </c>
      <c r="J68" s="10">
        <v>0</v>
      </c>
      <c r="K68" s="36">
        <f t="shared" si="0"/>
        <v>1.4039999999999999</v>
      </c>
    </row>
    <row r="69" spans="1:11" s="74" customFormat="1" ht="33" customHeight="1" x14ac:dyDescent="0.25">
      <c r="A69" s="140">
        <v>59</v>
      </c>
      <c r="B69" s="49" t="s">
        <v>2517</v>
      </c>
      <c r="C69" s="15" t="s">
        <v>38</v>
      </c>
      <c r="D69" s="7" t="s">
        <v>298</v>
      </c>
      <c r="E69" s="14" t="s">
        <v>1045</v>
      </c>
      <c r="F69" s="13" t="s">
        <v>1051</v>
      </c>
      <c r="G69" s="13">
        <v>3.5</v>
      </c>
      <c r="H69" s="10">
        <v>0.99</v>
      </c>
      <c r="I69" s="10">
        <v>0.99</v>
      </c>
      <c r="J69" s="10">
        <v>2.98</v>
      </c>
      <c r="K69" s="36">
        <f t="shared" si="0"/>
        <v>3.9699999999999998</v>
      </c>
    </row>
    <row r="70" spans="1:11" s="74" customFormat="1" ht="33" customHeight="1" x14ac:dyDescent="0.25">
      <c r="A70" s="140">
        <v>60</v>
      </c>
      <c r="B70" s="49" t="s">
        <v>2518</v>
      </c>
      <c r="C70" s="15" t="s">
        <v>38</v>
      </c>
      <c r="D70" s="7" t="s">
        <v>299</v>
      </c>
      <c r="E70" s="14" t="s">
        <v>1045</v>
      </c>
      <c r="F70" s="13" t="s">
        <v>1051</v>
      </c>
      <c r="G70" s="13">
        <v>3.5</v>
      </c>
      <c r="H70" s="10">
        <v>0</v>
      </c>
      <c r="I70" s="10">
        <v>0</v>
      </c>
      <c r="J70" s="10">
        <v>13.18</v>
      </c>
      <c r="K70" s="36">
        <f t="shared" si="0"/>
        <v>13.18</v>
      </c>
    </row>
    <row r="71" spans="1:11" s="74" customFormat="1" ht="33.75" customHeight="1" x14ac:dyDescent="0.25">
      <c r="A71" s="140">
        <v>61</v>
      </c>
      <c r="B71" s="49" t="s">
        <v>2519</v>
      </c>
      <c r="C71" s="15" t="s">
        <v>38</v>
      </c>
      <c r="D71" s="7" t="s">
        <v>300</v>
      </c>
      <c r="E71" s="14" t="s">
        <v>1045</v>
      </c>
      <c r="F71" s="13" t="s">
        <v>1051</v>
      </c>
      <c r="G71" s="13">
        <v>3.5</v>
      </c>
      <c r="H71" s="10">
        <v>0</v>
      </c>
      <c r="I71" s="10">
        <v>0</v>
      </c>
      <c r="J71" s="10">
        <v>3.7</v>
      </c>
      <c r="K71" s="36">
        <f t="shared" si="0"/>
        <v>3.7</v>
      </c>
    </row>
    <row r="72" spans="1:11" s="74" customFormat="1" ht="34.15" customHeight="1" x14ac:dyDescent="0.25">
      <c r="A72" s="140">
        <v>62</v>
      </c>
      <c r="B72" s="49" t="s">
        <v>2520</v>
      </c>
      <c r="C72" s="15" t="s">
        <v>38</v>
      </c>
      <c r="D72" s="7" t="s">
        <v>990</v>
      </c>
      <c r="E72" s="14" t="s">
        <v>1045</v>
      </c>
      <c r="F72" s="13" t="s">
        <v>1051</v>
      </c>
      <c r="G72" s="13">
        <v>3.5</v>
      </c>
      <c r="H72" s="10">
        <v>0</v>
      </c>
      <c r="I72" s="10">
        <v>0</v>
      </c>
      <c r="J72" s="10">
        <v>5.4779999999999998</v>
      </c>
      <c r="K72" s="36">
        <f t="shared" si="0"/>
        <v>5.4779999999999998</v>
      </c>
    </row>
    <row r="73" spans="1:11" s="74" customFormat="1" ht="31.9" customHeight="1" x14ac:dyDescent="0.25">
      <c r="A73" s="140">
        <v>63</v>
      </c>
      <c r="B73" s="49" t="s">
        <v>2521</v>
      </c>
      <c r="C73" s="15" t="s">
        <v>38</v>
      </c>
      <c r="D73" s="7" t="s">
        <v>991</v>
      </c>
      <c r="E73" s="14" t="s">
        <v>1045</v>
      </c>
      <c r="F73" s="13" t="s">
        <v>1051</v>
      </c>
      <c r="G73" s="13">
        <v>3.5</v>
      </c>
      <c r="H73" s="10">
        <v>0</v>
      </c>
      <c r="I73" s="10">
        <v>0</v>
      </c>
      <c r="J73" s="10">
        <v>6.3109999999999999</v>
      </c>
      <c r="K73" s="36">
        <f t="shared" si="0"/>
        <v>6.3109999999999999</v>
      </c>
    </row>
    <row r="74" spans="1:11" s="74" customFormat="1" ht="31.9" customHeight="1" x14ac:dyDescent="0.25">
      <c r="A74" s="140">
        <v>64</v>
      </c>
      <c r="B74" s="49" t="s">
        <v>2522</v>
      </c>
      <c r="C74" s="15" t="s">
        <v>38</v>
      </c>
      <c r="D74" s="7" t="s">
        <v>992</v>
      </c>
      <c r="E74" s="14" t="s">
        <v>1045</v>
      </c>
      <c r="F74" s="13" t="s">
        <v>1051</v>
      </c>
      <c r="G74" s="13">
        <v>3.5</v>
      </c>
      <c r="H74" s="10">
        <v>0</v>
      </c>
      <c r="I74" s="10">
        <v>0</v>
      </c>
      <c r="J74" s="10">
        <v>7.1710000000000003</v>
      </c>
      <c r="K74" s="36">
        <f t="shared" si="0"/>
        <v>7.1710000000000003</v>
      </c>
    </row>
    <row r="75" spans="1:11" s="74" customFormat="1" ht="31.15" customHeight="1" x14ac:dyDescent="0.25">
      <c r="A75" s="140">
        <v>65</v>
      </c>
      <c r="B75" s="49" t="s">
        <v>2523</v>
      </c>
      <c r="C75" s="15" t="s">
        <v>38</v>
      </c>
      <c r="D75" s="7" t="s">
        <v>995</v>
      </c>
      <c r="E75" s="14" t="s">
        <v>1045</v>
      </c>
      <c r="F75" s="13" t="s">
        <v>1051</v>
      </c>
      <c r="G75" s="13">
        <v>3.5</v>
      </c>
      <c r="H75" s="10">
        <v>0</v>
      </c>
      <c r="I75" s="10">
        <v>0</v>
      </c>
      <c r="J75" s="10">
        <v>6</v>
      </c>
      <c r="K75" s="36">
        <f t="shared" si="0"/>
        <v>6</v>
      </c>
    </row>
    <row r="76" spans="1:11" ht="30" x14ac:dyDescent="0.25">
      <c r="A76" s="140">
        <v>66</v>
      </c>
      <c r="B76" s="49" t="s">
        <v>3343</v>
      </c>
      <c r="C76" s="15" t="s">
        <v>38</v>
      </c>
      <c r="D76" s="7" t="s">
        <v>3344</v>
      </c>
      <c r="E76" s="14" t="s">
        <v>1045</v>
      </c>
      <c r="F76" s="13" t="s">
        <v>1051</v>
      </c>
      <c r="G76" s="13">
        <v>3</v>
      </c>
      <c r="H76" s="10">
        <v>0</v>
      </c>
      <c r="I76" s="10">
        <v>0</v>
      </c>
      <c r="J76" s="10">
        <v>0.33200000000000002</v>
      </c>
      <c r="K76" s="36">
        <f t="shared" ref="K76" si="1">SUM(J76,H76)</f>
        <v>0.33200000000000002</v>
      </c>
    </row>
  </sheetData>
  <sheetProtection insertRows="0" deleteRows="0" sort="0"/>
  <mergeCells count="9">
    <mergeCell ref="C1:I1"/>
    <mergeCell ref="K7:K8"/>
    <mergeCell ref="G7:G8"/>
    <mergeCell ref="F7:F8"/>
    <mergeCell ref="A7:A8"/>
    <mergeCell ref="B7:B8"/>
    <mergeCell ref="C7:C8"/>
    <mergeCell ref="D7:D8"/>
    <mergeCell ref="E7:E8"/>
  </mergeCells>
  <conditionalFormatting sqref="K11:K75">
    <cfRule type="expression" dxfId="10" priority="2">
      <formula>$H11+$J11&lt;&gt;$K11</formula>
    </cfRule>
  </conditionalFormatting>
  <conditionalFormatting sqref="H10:K10">
    <cfRule type="expression" dxfId="9" priority="242">
      <formula>H$10&lt;&gt;SUM(H$11:H$180)</formula>
    </cfRule>
  </conditionalFormatting>
  <conditionalFormatting sqref="K76">
    <cfRule type="expression" dxfId="8" priority="1">
      <formula>$H76+$J76&lt;&gt;$K76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opLeftCell="A29" zoomScaleNormal="100" zoomScaleSheetLayoutView="80" workbookViewId="0">
      <selection activeCell="J31" sqref="J31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4.140625" style="4" customWidth="1"/>
    <col min="5" max="5" width="22" style="4" customWidth="1"/>
    <col min="6" max="7" width="10.42578125" style="4" customWidth="1"/>
    <col min="8" max="8" width="12.28515625" style="4" customWidth="1"/>
    <col min="9" max="9" width="15.5703125" style="4" customWidth="1"/>
    <col min="10" max="10" width="9.7109375" style="4" customWidth="1"/>
    <col min="11" max="11" width="14.5703125" style="4" customWidth="1"/>
    <col min="12" max="16384" width="9.140625" style="4"/>
  </cols>
  <sheetData>
    <row r="1" spans="1:11" ht="28.9" customHeight="1" x14ac:dyDescent="0.25">
      <c r="B1" s="5"/>
      <c r="C1" s="180" t="s">
        <v>3274</v>
      </c>
      <c r="D1" s="180"/>
      <c r="E1" s="180"/>
      <c r="F1" s="180"/>
      <c r="G1" s="180"/>
      <c r="H1" s="180"/>
      <c r="I1" s="180"/>
      <c r="J1" s="5"/>
    </row>
    <row r="2" spans="1:1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x14ac:dyDescent="0.25">
      <c r="C4" s="152"/>
      <c r="D4" s="152"/>
      <c r="E4" s="152"/>
      <c r="F4" s="152"/>
      <c r="G4" s="152"/>
      <c r="H4" s="152"/>
      <c r="I4" s="152"/>
      <c r="K4" s="153" t="s">
        <v>3275</v>
      </c>
    </row>
    <row r="5" spans="1:11" x14ac:dyDescent="0.25">
      <c r="K5" s="153" t="s">
        <v>3276</v>
      </c>
    </row>
    <row r="7" spans="1:11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43"/>
      <c r="I7" s="44" t="s">
        <v>16</v>
      </c>
      <c r="J7" s="54"/>
      <c r="K7" s="187" t="s">
        <v>5</v>
      </c>
    </row>
    <row r="8" spans="1:11" s="5" customFormat="1" ht="60" customHeight="1" thickBot="1" x14ac:dyDescent="0.3">
      <c r="A8" s="184"/>
      <c r="B8" s="184"/>
      <c r="C8" s="184"/>
      <c r="D8" s="184"/>
      <c r="E8" s="184"/>
      <c r="F8" s="184"/>
      <c r="G8" s="179"/>
      <c r="H8" s="25" t="s">
        <v>3</v>
      </c>
      <c r="I8" s="25" t="s">
        <v>24</v>
      </c>
      <c r="J8" s="32" t="s">
        <v>4</v>
      </c>
      <c r="K8" s="188"/>
    </row>
    <row r="9" spans="1:11" s="5" customFormat="1" ht="21.75" customHeight="1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8">
        <v>9</v>
      </c>
      <c r="J9" s="28">
        <v>10</v>
      </c>
      <c r="K9" s="56">
        <v>11</v>
      </c>
    </row>
    <row r="10" spans="1:11" s="5" customFormat="1" ht="29.25" customHeight="1" thickBot="1" x14ac:dyDescent="0.3">
      <c r="A10" s="18" t="s">
        <v>2</v>
      </c>
      <c r="B10" s="19"/>
      <c r="C10" s="19"/>
      <c r="D10" s="19"/>
      <c r="E10" s="19"/>
      <c r="F10" s="20"/>
      <c r="G10" s="20"/>
      <c r="H10" s="21">
        <f>SUM(H11:H117)</f>
        <v>24.263000000000002</v>
      </c>
      <c r="I10" s="21">
        <f>SUM(I11:I117)</f>
        <v>7.7440000000000007</v>
      </c>
      <c r="J10" s="21">
        <f>SUM(J11:J117)</f>
        <v>48.856000000000002</v>
      </c>
      <c r="K10" s="35">
        <f>SUM(K11:K117)</f>
        <v>73.118999999999971</v>
      </c>
    </row>
    <row r="11" spans="1:11" s="5" customFormat="1" ht="29.25" customHeight="1" thickBot="1" x14ac:dyDescent="0.3">
      <c r="A11" s="23">
        <v>1</v>
      </c>
      <c r="B11" s="49" t="s">
        <v>2524</v>
      </c>
      <c r="C11" s="15" t="s">
        <v>39</v>
      </c>
      <c r="D11" s="7" t="s">
        <v>378</v>
      </c>
      <c r="E11" s="14" t="s">
        <v>1049</v>
      </c>
      <c r="F11" s="13" t="s">
        <v>1051</v>
      </c>
      <c r="G11" s="13">
        <v>4</v>
      </c>
      <c r="H11" s="10">
        <f>0.782+0.167</f>
        <v>0.94900000000000007</v>
      </c>
      <c r="I11" s="10">
        <v>0.78200000000000003</v>
      </c>
      <c r="J11" s="10">
        <v>0</v>
      </c>
      <c r="K11" s="35">
        <f>SUM(H11,J11)</f>
        <v>0.94900000000000007</v>
      </c>
    </row>
    <row r="12" spans="1:11" s="5" customFormat="1" ht="27" customHeight="1" thickBot="1" x14ac:dyDescent="0.3">
      <c r="A12" s="23">
        <v>2</v>
      </c>
      <c r="B12" s="49" t="s">
        <v>2525</v>
      </c>
      <c r="C12" s="15" t="s">
        <v>39</v>
      </c>
      <c r="D12" s="7" t="s">
        <v>379</v>
      </c>
      <c r="E12" s="14" t="s">
        <v>1049</v>
      </c>
      <c r="F12" s="13" t="s">
        <v>1051</v>
      </c>
      <c r="G12" s="13">
        <v>4</v>
      </c>
      <c r="H12" s="10">
        <f>0.334+0.46</f>
        <v>0.79400000000000004</v>
      </c>
      <c r="I12" s="10">
        <v>0.79400000000000004</v>
      </c>
      <c r="J12" s="10">
        <v>0</v>
      </c>
      <c r="K12" s="35">
        <f t="shared" ref="K12:K46" si="0">SUM(H12,J12)</f>
        <v>0.79400000000000004</v>
      </c>
    </row>
    <row r="13" spans="1:11" s="5" customFormat="1" ht="36.75" customHeight="1" thickBot="1" x14ac:dyDescent="0.3">
      <c r="A13" s="23">
        <v>3</v>
      </c>
      <c r="B13" s="49" t="s">
        <v>2526</v>
      </c>
      <c r="C13" s="15" t="s">
        <v>38</v>
      </c>
      <c r="D13" s="7" t="s">
        <v>425</v>
      </c>
      <c r="E13" s="14" t="s">
        <v>1049</v>
      </c>
      <c r="F13" s="13" t="s">
        <v>1051</v>
      </c>
      <c r="G13" s="13">
        <v>3.5</v>
      </c>
      <c r="H13" s="10">
        <v>0</v>
      </c>
      <c r="I13" s="10">
        <v>0</v>
      </c>
      <c r="J13" s="10">
        <v>0.254</v>
      </c>
      <c r="K13" s="35">
        <f t="shared" si="0"/>
        <v>0.254</v>
      </c>
    </row>
    <row r="14" spans="1:11" s="5" customFormat="1" ht="33.75" customHeight="1" thickBot="1" x14ac:dyDescent="0.3">
      <c r="A14" s="23">
        <v>4</v>
      </c>
      <c r="B14" s="49" t="s">
        <v>2527</v>
      </c>
      <c r="C14" s="15" t="s">
        <v>38</v>
      </c>
      <c r="D14" s="7" t="s">
        <v>380</v>
      </c>
      <c r="E14" s="14" t="s">
        <v>1049</v>
      </c>
      <c r="F14" s="13" t="s">
        <v>1051</v>
      </c>
      <c r="G14" s="13">
        <v>3.5</v>
      </c>
      <c r="H14" s="10">
        <v>0</v>
      </c>
      <c r="I14" s="10">
        <v>0</v>
      </c>
      <c r="J14" s="10">
        <v>0.58299999999999996</v>
      </c>
      <c r="K14" s="35">
        <f t="shared" si="0"/>
        <v>0.58299999999999996</v>
      </c>
    </row>
    <row r="15" spans="1:11" s="5" customFormat="1" ht="31.9" customHeight="1" thickBot="1" x14ac:dyDescent="0.3">
      <c r="A15" s="23">
        <v>5</v>
      </c>
      <c r="B15" s="49" t="s">
        <v>2528</v>
      </c>
      <c r="C15" s="15" t="s">
        <v>39</v>
      </c>
      <c r="D15" s="7" t="s">
        <v>381</v>
      </c>
      <c r="E15" s="14" t="s">
        <v>1049</v>
      </c>
      <c r="F15" s="13" t="s">
        <v>1051</v>
      </c>
      <c r="G15" s="13">
        <v>4</v>
      </c>
      <c r="H15" s="10">
        <v>0.81499999999999995</v>
      </c>
      <c r="I15" s="10">
        <v>0.81499999999999995</v>
      </c>
      <c r="J15" s="10">
        <v>0</v>
      </c>
      <c r="K15" s="35">
        <f t="shared" si="0"/>
        <v>0.81499999999999995</v>
      </c>
    </row>
    <row r="16" spans="1:11" s="5" customFormat="1" ht="35.25" customHeight="1" thickBot="1" x14ac:dyDescent="0.3">
      <c r="A16" s="23">
        <v>6</v>
      </c>
      <c r="B16" s="49" t="s">
        <v>2529</v>
      </c>
      <c r="C16" s="15" t="s">
        <v>38</v>
      </c>
      <c r="D16" s="7" t="s">
        <v>426</v>
      </c>
      <c r="E16" s="14" t="s">
        <v>1049</v>
      </c>
      <c r="F16" s="13" t="s">
        <v>1051</v>
      </c>
      <c r="G16" s="13">
        <v>3.5</v>
      </c>
      <c r="H16" s="10">
        <v>0</v>
      </c>
      <c r="I16" s="10">
        <v>0</v>
      </c>
      <c r="J16" s="10">
        <v>0.317</v>
      </c>
      <c r="K16" s="35">
        <f t="shared" si="0"/>
        <v>0.317</v>
      </c>
    </row>
    <row r="17" spans="1:11" s="5" customFormat="1" ht="31.15" customHeight="1" thickBot="1" x14ac:dyDescent="0.3">
      <c r="A17" s="23">
        <v>7</v>
      </c>
      <c r="B17" s="49" t="s">
        <v>2530</v>
      </c>
      <c r="C17" s="15" t="s">
        <v>39</v>
      </c>
      <c r="D17" s="7" t="s">
        <v>382</v>
      </c>
      <c r="E17" s="14" t="s">
        <v>1049</v>
      </c>
      <c r="F17" s="13" t="s">
        <v>1051</v>
      </c>
      <c r="G17" s="13">
        <v>4.5</v>
      </c>
      <c r="H17" s="10">
        <f>1.623+0.522</f>
        <v>2.145</v>
      </c>
      <c r="I17" s="10">
        <v>2.145</v>
      </c>
      <c r="J17" s="10">
        <v>0</v>
      </c>
      <c r="K17" s="35">
        <f t="shared" si="0"/>
        <v>2.145</v>
      </c>
    </row>
    <row r="18" spans="1:11" s="5" customFormat="1" ht="36.6" customHeight="1" thickBot="1" x14ac:dyDescent="0.3">
      <c r="A18" s="23">
        <v>8</v>
      </c>
      <c r="B18" s="49" t="s">
        <v>2531</v>
      </c>
      <c r="C18" s="15" t="s">
        <v>39</v>
      </c>
      <c r="D18" s="7" t="s">
        <v>383</v>
      </c>
      <c r="E18" s="14" t="s">
        <v>1049</v>
      </c>
      <c r="F18" s="13" t="s">
        <v>1051</v>
      </c>
      <c r="G18" s="13">
        <v>4</v>
      </c>
      <c r="H18" s="10">
        <v>0.27300000000000002</v>
      </c>
      <c r="I18" s="10">
        <v>0</v>
      </c>
      <c r="J18" s="10">
        <v>0</v>
      </c>
      <c r="K18" s="35">
        <f t="shared" si="0"/>
        <v>0.27300000000000002</v>
      </c>
    </row>
    <row r="19" spans="1:11" s="5" customFormat="1" ht="30" customHeight="1" thickBot="1" x14ac:dyDescent="0.3">
      <c r="A19" s="23">
        <v>9</v>
      </c>
      <c r="B19" s="49" t="s">
        <v>2532</v>
      </c>
      <c r="C19" s="15" t="s">
        <v>39</v>
      </c>
      <c r="D19" s="7" t="s">
        <v>384</v>
      </c>
      <c r="E19" s="14" t="s">
        <v>1049</v>
      </c>
      <c r="F19" s="13" t="s">
        <v>1051</v>
      </c>
      <c r="G19" s="13">
        <v>4.5</v>
      </c>
      <c r="H19" s="10">
        <f>0.73+0.09</f>
        <v>0.82</v>
      </c>
      <c r="I19" s="10">
        <v>0.73</v>
      </c>
      <c r="J19" s="10">
        <v>0</v>
      </c>
      <c r="K19" s="35">
        <f t="shared" si="0"/>
        <v>0.82</v>
      </c>
    </row>
    <row r="20" spans="1:11" s="5" customFormat="1" ht="37.5" customHeight="1" thickBot="1" x14ac:dyDescent="0.3">
      <c r="A20" s="23">
        <v>10</v>
      </c>
      <c r="B20" s="49" t="s">
        <v>2533</v>
      </c>
      <c r="C20" s="15" t="s">
        <v>38</v>
      </c>
      <c r="D20" s="7" t="s">
        <v>427</v>
      </c>
      <c r="E20" s="14" t="s">
        <v>1049</v>
      </c>
      <c r="F20" s="13" t="s">
        <v>1051</v>
      </c>
      <c r="G20" s="13">
        <v>3.5</v>
      </c>
      <c r="H20" s="10">
        <v>0</v>
      </c>
      <c r="I20" s="10">
        <v>0</v>
      </c>
      <c r="J20" s="10">
        <v>0.5</v>
      </c>
      <c r="K20" s="35">
        <f t="shared" si="0"/>
        <v>0.5</v>
      </c>
    </row>
    <row r="21" spans="1:11" s="5" customFormat="1" ht="28.9" customHeight="1" thickBot="1" x14ac:dyDescent="0.3">
      <c r="A21" s="23">
        <v>11</v>
      </c>
      <c r="B21" s="49" t="s">
        <v>2534</v>
      </c>
      <c r="C21" s="15" t="s">
        <v>39</v>
      </c>
      <c r="D21" s="7" t="s">
        <v>385</v>
      </c>
      <c r="E21" s="14" t="s">
        <v>1049</v>
      </c>
      <c r="F21" s="13" t="s">
        <v>1051</v>
      </c>
      <c r="G21" s="13">
        <v>4</v>
      </c>
      <c r="H21" s="10">
        <v>1.347</v>
      </c>
      <c r="I21" s="10">
        <v>0</v>
      </c>
      <c r="J21" s="10">
        <v>0</v>
      </c>
      <c r="K21" s="35">
        <f t="shared" si="0"/>
        <v>1.347</v>
      </c>
    </row>
    <row r="22" spans="1:11" s="5" customFormat="1" ht="25.15" customHeight="1" thickBot="1" x14ac:dyDescent="0.3">
      <c r="A22" s="23">
        <v>12</v>
      </c>
      <c r="B22" s="49" t="s">
        <v>2535</v>
      </c>
      <c r="C22" s="15" t="s">
        <v>39</v>
      </c>
      <c r="D22" s="7" t="s">
        <v>386</v>
      </c>
      <c r="E22" s="14" t="s">
        <v>1049</v>
      </c>
      <c r="F22" s="13" t="s">
        <v>1051</v>
      </c>
      <c r="G22" s="13">
        <v>4</v>
      </c>
      <c r="H22" s="10">
        <v>0.65</v>
      </c>
      <c r="I22" s="10">
        <v>0</v>
      </c>
      <c r="J22" s="10">
        <v>0</v>
      </c>
      <c r="K22" s="35">
        <f t="shared" si="0"/>
        <v>0.65</v>
      </c>
    </row>
    <row r="23" spans="1:11" s="5" customFormat="1" ht="28.9" customHeight="1" thickBot="1" x14ac:dyDescent="0.3">
      <c r="A23" s="23">
        <v>13</v>
      </c>
      <c r="B23" s="49" t="s">
        <v>2536</v>
      </c>
      <c r="C23" s="15" t="s">
        <v>39</v>
      </c>
      <c r="D23" s="7" t="s">
        <v>387</v>
      </c>
      <c r="E23" s="14" t="s">
        <v>1049</v>
      </c>
      <c r="F23" s="13" t="s">
        <v>1051</v>
      </c>
      <c r="G23" s="13">
        <v>3.5</v>
      </c>
      <c r="H23" s="10">
        <f>0.695+0.372</f>
        <v>1.0669999999999999</v>
      </c>
      <c r="I23" s="10">
        <f>0.695+0.372</f>
        <v>1.0669999999999999</v>
      </c>
      <c r="J23" s="10">
        <v>0</v>
      </c>
      <c r="K23" s="35">
        <f t="shared" si="0"/>
        <v>1.0669999999999999</v>
      </c>
    </row>
    <row r="24" spans="1:11" s="5" customFormat="1" ht="26.45" customHeight="1" thickBot="1" x14ac:dyDescent="0.3">
      <c r="A24" s="23">
        <v>14</v>
      </c>
      <c r="B24" s="49" t="s">
        <v>2537</v>
      </c>
      <c r="C24" s="15" t="s">
        <v>39</v>
      </c>
      <c r="D24" s="7" t="s">
        <v>388</v>
      </c>
      <c r="E24" s="14" t="s">
        <v>1049</v>
      </c>
      <c r="F24" s="13" t="s">
        <v>1051</v>
      </c>
      <c r="G24" s="13">
        <v>3.5</v>
      </c>
      <c r="H24" s="10">
        <v>0.42099999999999999</v>
      </c>
      <c r="I24" s="10">
        <v>0.42099999999999999</v>
      </c>
      <c r="J24" s="10">
        <v>0</v>
      </c>
      <c r="K24" s="35">
        <f t="shared" si="0"/>
        <v>0.42099999999999999</v>
      </c>
    </row>
    <row r="25" spans="1:11" s="5" customFormat="1" ht="48" customHeight="1" thickBot="1" x14ac:dyDescent="0.3">
      <c r="A25" s="23">
        <v>15</v>
      </c>
      <c r="B25" s="49" t="s">
        <v>2538</v>
      </c>
      <c r="C25" s="15" t="s">
        <v>39</v>
      </c>
      <c r="D25" s="7" t="s">
        <v>428</v>
      </c>
      <c r="E25" s="14" t="s">
        <v>1049</v>
      </c>
      <c r="F25" s="13" t="s">
        <v>1051</v>
      </c>
      <c r="G25" s="13">
        <v>3.5</v>
      </c>
      <c r="H25" s="10">
        <v>0.254</v>
      </c>
      <c r="I25" s="10">
        <v>0</v>
      </c>
      <c r="J25" s="10">
        <v>0</v>
      </c>
      <c r="K25" s="35">
        <f t="shared" si="0"/>
        <v>0.254</v>
      </c>
    </row>
    <row r="26" spans="1:11" s="5" customFormat="1" ht="37.5" customHeight="1" thickBot="1" x14ac:dyDescent="0.3">
      <c r="A26" s="23">
        <v>16</v>
      </c>
      <c r="B26" s="49" t="s">
        <v>2539</v>
      </c>
      <c r="C26" s="15" t="s">
        <v>39</v>
      </c>
      <c r="D26" s="7" t="s">
        <v>429</v>
      </c>
      <c r="E26" s="14" t="s">
        <v>1049</v>
      </c>
      <c r="F26" s="13" t="s">
        <v>1051</v>
      </c>
      <c r="G26" s="13">
        <v>3.5</v>
      </c>
      <c r="H26" s="10">
        <v>0.128</v>
      </c>
      <c r="I26" s="10">
        <v>0</v>
      </c>
      <c r="J26" s="10">
        <v>0</v>
      </c>
      <c r="K26" s="35">
        <f t="shared" si="0"/>
        <v>0.128</v>
      </c>
    </row>
    <row r="27" spans="1:11" s="5" customFormat="1" ht="25.9" customHeight="1" thickBot="1" x14ac:dyDescent="0.3">
      <c r="A27" s="23">
        <v>17</v>
      </c>
      <c r="B27" s="49" t="s">
        <v>2540</v>
      </c>
      <c r="C27" s="15" t="s">
        <v>39</v>
      </c>
      <c r="D27" s="7" t="s">
        <v>389</v>
      </c>
      <c r="E27" s="14" t="s">
        <v>1049</v>
      </c>
      <c r="F27" s="13" t="s">
        <v>1114</v>
      </c>
      <c r="G27" s="13">
        <v>6</v>
      </c>
      <c r="H27" s="10">
        <f>0.99+0.237</f>
        <v>1.2269999999999999</v>
      </c>
      <c r="I27" s="10">
        <v>0.99</v>
      </c>
      <c r="J27" s="10">
        <v>0</v>
      </c>
      <c r="K27" s="35">
        <f t="shared" si="0"/>
        <v>1.2269999999999999</v>
      </c>
    </row>
    <row r="28" spans="1:11" s="5" customFormat="1" ht="33.6" customHeight="1" thickBot="1" x14ac:dyDescent="0.3">
      <c r="A28" s="23">
        <v>18</v>
      </c>
      <c r="B28" s="49" t="s">
        <v>2541</v>
      </c>
      <c r="C28" s="33" t="s">
        <v>38</v>
      </c>
      <c r="D28" s="7" t="s">
        <v>390</v>
      </c>
      <c r="E28" s="14" t="s">
        <v>1049</v>
      </c>
      <c r="F28" s="13" t="s">
        <v>1051</v>
      </c>
      <c r="G28" s="13">
        <v>3.5</v>
      </c>
      <c r="H28" s="10">
        <v>0</v>
      </c>
      <c r="I28" s="10">
        <v>0</v>
      </c>
      <c r="J28" s="10">
        <v>9.8059999999999992</v>
      </c>
      <c r="K28" s="35">
        <f t="shared" si="0"/>
        <v>9.8059999999999992</v>
      </c>
    </row>
    <row r="29" spans="1:11" s="5" customFormat="1" ht="36.6" customHeight="1" x14ac:dyDescent="0.25">
      <c r="A29" s="23">
        <v>19</v>
      </c>
      <c r="B29" s="49" t="s">
        <v>2542</v>
      </c>
      <c r="C29" s="15" t="s">
        <v>38</v>
      </c>
      <c r="D29" s="7" t="s">
        <v>3308</v>
      </c>
      <c r="E29" s="14" t="s">
        <v>1049</v>
      </c>
      <c r="F29" s="13" t="s">
        <v>1051</v>
      </c>
      <c r="G29" s="13">
        <v>3.5</v>
      </c>
      <c r="H29" s="10">
        <v>0</v>
      </c>
      <c r="I29" s="10">
        <v>0</v>
      </c>
      <c r="J29" s="10">
        <v>5.1280000000000001</v>
      </c>
      <c r="K29" s="35">
        <f t="shared" si="0"/>
        <v>5.1280000000000001</v>
      </c>
    </row>
    <row r="30" spans="1:11" s="5" customFormat="1" ht="28.15" customHeight="1" x14ac:dyDescent="0.25">
      <c r="A30" s="23">
        <v>20</v>
      </c>
      <c r="B30" s="49" t="s">
        <v>2543</v>
      </c>
      <c r="C30" s="15" t="s">
        <v>38</v>
      </c>
      <c r="D30" s="7" t="s">
        <v>391</v>
      </c>
      <c r="E30" s="14" t="s">
        <v>1049</v>
      </c>
      <c r="F30" s="13" t="s">
        <v>1051</v>
      </c>
      <c r="G30" s="13">
        <v>3.5</v>
      </c>
      <c r="H30" s="10">
        <v>2.7610000000000001</v>
      </c>
      <c r="I30" s="10">
        <v>0</v>
      </c>
      <c r="J30" s="10">
        <v>0</v>
      </c>
      <c r="K30" s="47">
        <f t="shared" si="0"/>
        <v>2.7610000000000001</v>
      </c>
    </row>
    <row r="31" spans="1:11" s="5" customFormat="1" ht="33.6" customHeight="1" x14ac:dyDescent="0.25">
      <c r="A31" s="23">
        <v>21</v>
      </c>
      <c r="B31" s="49" t="s">
        <v>2544</v>
      </c>
      <c r="C31" s="15" t="s">
        <v>38</v>
      </c>
      <c r="D31" s="7" t="s">
        <v>1625</v>
      </c>
      <c r="E31" s="14" t="s">
        <v>1049</v>
      </c>
      <c r="F31" s="13" t="s">
        <v>1051</v>
      </c>
      <c r="G31" s="13">
        <v>3.5</v>
      </c>
      <c r="H31" s="10">
        <v>0.25700000000000001</v>
      </c>
      <c r="I31" s="10">
        <v>0</v>
      </c>
      <c r="J31" s="10">
        <v>0</v>
      </c>
      <c r="K31" s="47">
        <f t="shared" si="0"/>
        <v>0.25700000000000001</v>
      </c>
    </row>
    <row r="32" spans="1:11" s="5" customFormat="1" ht="38.25" customHeight="1" x14ac:dyDescent="0.25">
      <c r="A32" s="23">
        <v>22</v>
      </c>
      <c r="B32" s="49" t="s">
        <v>2545</v>
      </c>
      <c r="C32" s="15" t="s">
        <v>38</v>
      </c>
      <c r="D32" s="7" t="s">
        <v>392</v>
      </c>
      <c r="E32" s="14" t="s">
        <v>1049</v>
      </c>
      <c r="F32" s="13" t="s">
        <v>1051</v>
      </c>
      <c r="G32" s="13">
        <v>3.5</v>
      </c>
      <c r="H32" s="10">
        <v>0</v>
      </c>
      <c r="I32" s="10">
        <v>0</v>
      </c>
      <c r="J32" s="10">
        <v>2.476</v>
      </c>
      <c r="K32" s="47">
        <f t="shared" si="0"/>
        <v>2.476</v>
      </c>
    </row>
    <row r="33" spans="1:11" s="5" customFormat="1" ht="29.45" customHeight="1" x14ac:dyDescent="0.25">
      <c r="A33" s="23">
        <v>23</v>
      </c>
      <c r="B33" s="49" t="s">
        <v>2546</v>
      </c>
      <c r="C33" s="15" t="s">
        <v>38</v>
      </c>
      <c r="D33" s="7" t="s">
        <v>393</v>
      </c>
      <c r="E33" s="14" t="s">
        <v>1049</v>
      </c>
      <c r="F33" s="13" t="s">
        <v>1051</v>
      </c>
      <c r="G33" s="13">
        <v>3.5</v>
      </c>
      <c r="H33" s="10">
        <v>2.6669999999999998</v>
      </c>
      <c r="I33" s="10">
        <v>0</v>
      </c>
      <c r="J33" s="10">
        <v>0</v>
      </c>
      <c r="K33" s="47">
        <f t="shared" si="0"/>
        <v>2.6669999999999998</v>
      </c>
    </row>
    <row r="34" spans="1:11" s="5" customFormat="1" ht="30.6" customHeight="1" x14ac:dyDescent="0.25">
      <c r="A34" s="23">
        <v>24</v>
      </c>
      <c r="B34" s="49" t="s">
        <v>2547</v>
      </c>
      <c r="C34" s="33" t="s">
        <v>38</v>
      </c>
      <c r="D34" s="7" t="s">
        <v>394</v>
      </c>
      <c r="E34" s="14" t="s">
        <v>1049</v>
      </c>
      <c r="F34" s="13" t="s">
        <v>1051</v>
      </c>
      <c r="G34" s="13">
        <v>3.5</v>
      </c>
      <c r="H34" s="10">
        <v>2.9249999999999998</v>
      </c>
      <c r="I34" s="10">
        <v>0</v>
      </c>
      <c r="J34" s="10">
        <v>0</v>
      </c>
      <c r="K34" s="47">
        <f t="shared" si="0"/>
        <v>2.9249999999999998</v>
      </c>
    </row>
    <row r="35" spans="1:11" s="5" customFormat="1" ht="37.9" customHeight="1" x14ac:dyDescent="0.25">
      <c r="A35" s="23">
        <v>25</v>
      </c>
      <c r="B35" s="49" t="s">
        <v>2548</v>
      </c>
      <c r="C35" s="33" t="s">
        <v>38</v>
      </c>
      <c r="D35" s="7" t="s">
        <v>432</v>
      </c>
      <c r="E35" s="14" t="s">
        <v>1049</v>
      </c>
      <c r="F35" s="13" t="s">
        <v>1051</v>
      </c>
      <c r="G35" s="13">
        <v>3.5</v>
      </c>
      <c r="H35" s="10">
        <v>0</v>
      </c>
      <c r="I35" s="10">
        <v>0</v>
      </c>
      <c r="J35" s="10">
        <v>8.702</v>
      </c>
      <c r="K35" s="47">
        <f t="shared" si="0"/>
        <v>8.702</v>
      </c>
    </row>
    <row r="36" spans="1:11" s="5" customFormat="1" ht="28.15" customHeight="1" x14ac:dyDescent="0.25">
      <c r="A36" s="23">
        <v>26</v>
      </c>
      <c r="B36" s="49" t="s">
        <v>2549</v>
      </c>
      <c r="C36" s="33" t="s">
        <v>38</v>
      </c>
      <c r="D36" s="7" t="s">
        <v>431</v>
      </c>
      <c r="E36" s="14" t="s">
        <v>1049</v>
      </c>
      <c r="F36" s="13" t="s">
        <v>1051</v>
      </c>
      <c r="G36" s="13">
        <v>3.5</v>
      </c>
      <c r="H36" s="10">
        <v>1.7829999999999999</v>
      </c>
      <c r="I36" s="10">
        <v>0</v>
      </c>
      <c r="J36" s="10">
        <v>0</v>
      </c>
      <c r="K36" s="47">
        <f t="shared" ref="K36" si="1">SUM(H36,J36)</f>
        <v>1.7829999999999999</v>
      </c>
    </row>
    <row r="37" spans="1:11" s="5" customFormat="1" ht="32.450000000000003" customHeight="1" x14ac:dyDescent="0.25">
      <c r="A37" s="23">
        <v>27</v>
      </c>
      <c r="B37" s="49" t="s">
        <v>2550</v>
      </c>
      <c r="C37" s="33" t="s">
        <v>38</v>
      </c>
      <c r="D37" s="7" t="s">
        <v>430</v>
      </c>
      <c r="E37" s="14" t="s">
        <v>1049</v>
      </c>
      <c r="F37" s="13" t="s">
        <v>1051</v>
      </c>
      <c r="G37" s="13">
        <v>3.5</v>
      </c>
      <c r="H37" s="10">
        <v>2.98</v>
      </c>
      <c r="I37" s="10">
        <v>0</v>
      </c>
      <c r="J37" s="10">
        <v>0</v>
      </c>
      <c r="K37" s="47">
        <f t="shared" ref="K37" si="2">SUM(H37,J37)</f>
        <v>2.98</v>
      </c>
    </row>
    <row r="38" spans="1:11" s="5" customFormat="1" ht="39" customHeight="1" x14ac:dyDescent="0.25">
      <c r="A38" s="23">
        <v>28</v>
      </c>
      <c r="B38" s="49" t="s">
        <v>2551</v>
      </c>
      <c r="C38" s="15" t="s">
        <v>38</v>
      </c>
      <c r="D38" s="57" t="s">
        <v>395</v>
      </c>
      <c r="E38" s="14" t="s">
        <v>1049</v>
      </c>
      <c r="F38" s="13" t="s">
        <v>1051</v>
      </c>
      <c r="G38" s="13">
        <v>3.5</v>
      </c>
      <c r="H38" s="10">
        <v>0</v>
      </c>
      <c r="I38" s="10">
        <v>0</v>
      </c>
      <c r="J38" s="10">
        <v>1.62</v>
      </c>
      <c r="K38" s="47">
        <f t="shared" si="0"/>
        <v>1.62</v>
      </c>
    </row>
    <row r="39" spans="1:11" s="5" customFormat="1" ht="33" customHeight="1" x14ac:dyDescent="0.25">
      <c r="A39" s="23">
        <v>29</v>
      </c>
      <c r="B39" s="49" t="s">
        <v>2552</v>
      </c>
      <c r="C39" s="15" t="s">
        <v>38</v>
      </c>
      <c r="D39" s="57" t="s">
        <v>396</v>
      </c>
      <c r="E39" s="14" t="s">
        <v>1049</v>
      </c>
      <c r="F39" s="13" t="s">
        <v>1051</v>
      </c>
      <c r="G39" s="13">
        <v>3.5</v>
      </c>
      <c r="H39" s="10">
        <v>0</v>
      </c>
      <c r="I39" s="10">
        <v>0</v>
      </c>
      <c r="J39" s="10">
        <v>1.6</v>
      </c>
      <c r="K39" s="47">
        <f t="shared" si="0"/>
        <v>1.6</v>
      </c>
    </row>
    <row r="40" spans="1:11" s="5" customFormat="1" ht="33.75" customHeight="1" x14ac:dyDescent="0.25">
      <c r="A40" s="23">
        <v>30</v>
      </c>
      <c r="B40" s="49" t="s">
        <v>2553</v>
      </c>
      <c r="C40" s="15" t="s">
        <v>38</v>
      </c>
      <c r="D40" s="57" t="s">
        <v>397</v>
      </c>
      <c r="E40" s="14" t="s">
        <v>1049</v>
      </c>
      <c r="F40" s="13" t="s">
        <v>1051</v>
      </c>
      <c r="G40" s="13">
        <v>3.5</v>
      </c>
      <c r="H40" s="10">
        <v>0</v>
      </c>
      <c r="I40" s="10">
        <v>0</v>
      </c>
      <c r="J40" s="10">
        <v>4.5</v>
      </c>
      <c r="K40" s="47">
        <f t="shared" si="0"/>
        <v>4.5</v>
      </c>
    </row>
    <row r="41" spans="1:11" s="5" customFormat="1" ht="32.25" customHeight="1" x14ac:dyDescent="0.25">
      <c r="A41" s="23">
        <v>31</v>
      </c>
      <c r="B41" s="49" t="s">
        <v>2554</v>
      </c>
      <c r="C41" s="15" t="s">
        <v>38</v>
      </c>
      <c r="D41" s="57" t="s">
        <v>398</v>
      </c>
      <c r="E41" s="14" t="s">
        <v>1049</v>
      </c>
      <c r="F41" s="13" t="s">
        <v>1051</v>
      </c>
      <c r="G41" s="13">
        <v>3.5</v>
      </c>
      <c r="H41" s="10">
        <v>0</v>
      </c>
      <c r="I41" s="10">
        <v>0</v>
      </c>
      <c r="J41" s="10">
        <v>4.38</v>
      </c>
      <c r="K41" s="47">
        <f t="shared" si="0"/>
        <v>4.38</v>
      </c>
    </row>
    <row r="42" spans="1:11" s="5" customFormat="1" ht="33" customHeight="1" x14ac:dyDescent="0.25">
      <c r="A42" s="23">
        <v>32</v>
      </c>
      <c r="B42" s="49" t="s">
        <v>2555</v>
      </c>
      <c r="C42" s="15" t="s">
        <v>38</v>
      </c>
      <c r="D42" s="57" t="s">
        <v>399</v>
      </c>
      <c r="E42" s="14" t="s">
        <v>1049</v>
      </c>
      <c r="F42" s="13" t="s">
        <v>1051</v>
      </c>
      <c r="G42" s="13">
        <v>3.5</v>
      </c>
      <c r="H42" s="10">
        <v>0</v>
      </c>
      <c r="I42" s="10">
        <v>0</v>
      </c>
      <c r="J42" s="10">
        <v>1.3</v>
      </c>
      <c r="K42" s="47">
        <f t="shared" si="0"/>
        <v>1.3</v>
      </c>
    </row>
    <row r="43" spans="1:11" s="5" customFormat="1" ht="35.25" customHeight="1" x14ac:dyDescent="0.25">
      <c r="A43" s="23">
        <v>33</v>
      </c>
      <c r="B43" s="49" t="s">
        <v>2556</v>
      </c>
      <c r="C43" s="15" t="s">
        <v>38</v>
      </c>
      <c r="D43" s="57" t="s">
        <v>400</v>
      </c>
      <c r="E43" s="14" t="s">
        <v>1049</v>
      </c>
      <c r="F43" s="13" t="s">
        <v>1051</v>
      </c>
      <c r="G43" s="13">
        <v>3.5</v>
      </c>
      <c r="H43" s="10">
        <v>0</v>
      </c>
      <c r="I43" s="10">
        <v>0</v>
      </c>
      <c r="J43" s="10">
        <v>1.1599999999999999</v>
      </c>
      <c r="K43" s="47">
        <f t="shared" si="0"/>
        <v>1.1599999999999999</v>
      </c>
    </row>
    <row r="44" spans="1:11" s="5" customFormat="1" ht="30.75" customHeight="1" x14ac:dyDescent="0.25">
      <c r="A44" s="23">
        <v>34</v>
      </c>
      <c r="B44" s="49" t="s">
        <v>2557</v>
      </c>
      <c r="C44" s="15" t="s">
        <v>38</v>
      </c>
      <c r="D44" s="57" t="s">
        <v>401</v>
      </c>
      <c r="E44" s="14" t="s">
        <v>1049</v>
      </c>
      <c r="F44" s="13" t="s">
        <v>1051</v>
      </c>
      <c r="G44" s="13">
        <v>3.5</v>
      </c>
      <c r="H44" s="10">
        <v>0</v>
      </c>
      <c r="I44" s="10">
        <v>0</v>
      </c>
      <c r="J44" s="10">
        <v>1.63</v>
      </c>
      <c r="K44" s="47">
        <f t="shared" si="0"/>
        <v>1.63</v>
      </c>
    </row>
    <row r="45" spans="1:11" s="5" customFormat="1" ht="36.75" customHeight="1" x14ac:dyDescent="0.25">
      <c r="A45" s="23">
        <v>35</v>
      </c>
      <c r="B45" s="49" t="s">
        <v>2558</v>
      </c>
      <c r="C45" s="15" t="s">
        <v>38</v>
      </c>
      <c r="D45" s="57" t="s">
        <v>402</v>
      </c>
      <c r="E45" s="14" t="s">
        <v>1049</v>
      </c>
      <c r="F45" s="13" t="s">
        <v>1051</v>
      </c>
      <c r="G45" s="13">
        <v>3.5</v>
      </c>
      <c r="H45" s="10">
        <v>0</v>
      </c>
      <c r="I45" s="10">
        <v>0</v>
      </c>
      <c r="J45" s="10">
        <v>1.6</v>
      </c>
      <c r="K45" s="47">
        <f t="shared" si="0"/>
        <v>1.6</v>
      </c>
    </row>
    <row r="46" spans="1:11" s="5" customFormat="1" ht="34.5" customHeight="1" x14ac:dyDescent="0.25">
      <c r="A46" s="23">
        <v>36</v>
      </c>
      <c r="B46" s="49" t="s">
        <v>2559</v>
      </c>
      <c r="C46" s="15" t="s">
        <v>38</v>
      </c>
      <c r="D46" s="57" t="s">
        <v>403</v>
      </c>
      <c r="E46" s="14" t="s">
        <v>1049</v>
      </c>
      <c r="F46" s="13" t="s">
        <v>1051</v>
      </c>
      <c r="G46" s="13">
        <v>3.5</v>
      </c>
      <c r="H46" s="10">
        <v>0</v>
      </c>
      <c r="I46" s="10">
        <v>0</v>
      </c>
      <c r="J46" s="10">
        <v>3.3</v>
      </c>
      <c r="K46" s="47">
        <f t="shared" si="0"/>
        <v>3.3</v>
      </c>
    </row>
  </sheetData>
  <sheetProtection insertRows="0" deleteRows="0" sort="0"/>
  <mergeCells count="9">
    <mergeCell ref="C1:I1"/>
    <mergeCell ref="K7:K8"/>
    <mergeCell ref="G7:G8"/>
    <mergeCell ref="A7:A8"/>
    <mergeCell ref="B7:B8"/>
    <mergeCell ref="C7:C8"/>
    <mergeCell ref="D7:D8"/>
    <mergeCell ref="E7:E8"/>
    <mergeCell ref="F7:F8"/>
  </mergeCells>
  <conditionalFormatting sqref="K30:K46">
    <cfRule type="expression" dxfId="7" priority="1">
      <formula>$H30+$J30&lt;&gt;$K30</formula>
    </cfRule>
  </conditionalFormatting>
  <conditionalFormatting sqref="K11:K29 H10:K10">
    <cfRule type="expression" dxfId="6" priority="243">
      <formula>H$10&lt;&gt;SUM(H$11:H$117)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36" zoomScale="106" zoomScaleNormal="106" zoomScaleSheetLayoutView="80" workbookViewId="0">
      <selection activeCell="J47" sqref="J47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4.140625" style="4" customWidth="1"/>
    <col min="5" max="5" width="23" style="4" customWidth="1"/>
    <col min="6" max="7" width="10.42578125" style="4" customWidth="1"/>
    <col min="8" max="8" width="12.85546875" style="4" customWidth="1"/>
    <col min="9" max="9" width="15.5703125" style="4" customWidth="1"/>
    <col min="10" max="10" width="10.7109375" style="4" customWidth="1"/>
    <col min="11" max="11" width="16.7109375" style="4" customWidth="1"/>
    <col min="12" max="16384" width="9.140625" style="4"/>
  </cols>
  <sheetData>
    <row r="1" spans="1:11" ht="28.9" customHeight="1" x14ac:dyDescent="0.25">
      <c r="B1" s="5"/>
      <c r="C1" s="180" t="s">
        <v>3277</v>
      </c>
      <c r="D1" s="180"/>
      <c r="E1" s="180"/>
      <c r="F1" s="180"/>
      <c r="G1" s="180"/>
      <c r="H1" s="180"/>
      <c r="I1" s="180"/>
      <c r="J1" s="5"/>
    </row>
    <row r="2" spans="1:1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x14ac:dyDescent="0.25">
      <c r="C4" s="152"/>
      <c r="D4" s="152"/>
      <c r="E4" s="152"/>
      <c r="F4" s="152"/>
      <c r="G4" s="152"/>
      <c r="H4" s="152"/>
      <c r="I4" s="152"/>
      <c r="K4" s="153" t="s">
        <v>3278</v>
      </c>
    </row>
    <row r="5" spans="1:11" x14ac:dyDescent="0.25">
      <c r="K5" s="153" t="s">
        <v>3279</v>
      </c>
    </row>
    <row r="7" spans="1:11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1048</v>
      </c>
      <c r="H7" s="43"/>
      <c r="I7" s="44" t="s">
        <v>16</v>
      </c>
      <c r="J7" s="54"/>
      <c r="K7" s="187" t="s">
        <v>5</v>
      </c>
    </row>
    <row r="8" spans="1:11" s="5" customFormat="1" ht="60" customHeight="1" thickBot="1" x14ac:dyDescent="0.3">
      <c r="A8" s="184"/>
      <c r="B8" s="184"/>
      <c r="C8" s="184"/>
      <c r="D8" s="184"/>
      <c r="E8" s="184"/>
      <c r="F8" s="184"/>
      <c r="G8" s="179"/>
      <c r="H8" s="25" t="s">
        <v>3</v>
      </c>
      <c r="I8" s="25" t="s">
        <v>24</v>
      </c>
      <c r="J8" s="26" t="s">
        <v>4</v>
      </c>
      <c r="K8" s="188"/>
    </row>
    <row r="9" spans="1:11" s="5" customFormat="1" ht="21.75" customHeight="1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8">
        <v>9</v>
      </c>
      <c r="J9" s="28">
        <v>10</v>
      </c>
      <c r="K9" s="56">
        <v>11</v>
      </c>
    </row>
    <row r="10" spans="1:11" s="5" customFormat="1" ht="29.25" customHeight="1" thickBot="1" x14ac:dyDescent="0.3">
      <c r="A10" s="18" t="s">
        <v>2</v>
      </c>
      <c r="B10" s="19"/>
      <c r="C10" s="19"/>
      <c r="D10" s="19"/>
      <c r="E10" s="19"/>
      <c r="F10" s="20"/>
      <c r="G10" s="20"/>
      <c r="H10" s="21">
        <f>SUM(H11:H293)</f>
        <v>25.307000000000002</v>
      </c>
      <c r="I10" s="21">
        <f>SUM(I11:I293)</f>
        <v>15.71</v>
      </c>
      <c r="J10" s="21">
        <f>SUM(J11:J293)</f>
        <v>51.155000000000001</v>
      </c>
      <c r="K10" s="35">
        <f>SUM(K11:K293)</f>
        <v>76.462000000000018</v>
      </c>
    </row>
    <row r="11" spans="1:11" s="5" customFormat="1" ht="29.25" customHeight="1" thickBot="1" x14ac:dyDescent="0.3">
      <c r="A11" s="23">
        <v>1</v>
      </c>
      <c r="B11" s="49" t="s">
        <v>2560</v>
      </c>
      <c r="C11" s="15" t="s">
        <v>39</v>
      </c>
      <c r="D11" s="7" t="s">
        <v>95</v>
      </c>
      <c r="E11" s="14" t="s">
        <v>1050</v>
      </c>
      <c r="F11" s="13" t="s">
        <v>1114</v>
      </c>
      <c r="G11" s="13">
        <v>6</v>
      </c>
      <c r="H11" s="10">
        <f>1.72+0.395+0.06</f>
        <v>2.1750000000000003</v>
      </c>
      <c r="I11" s="10">
        <f>1.72+0.335</f>
        <v>2.0550000000000002</v>
      </c>
      <c r="J11" s="10">
        <v>0</v>
      </c>
      <c r="K11" s="35">
        <f>J11+H11</f>
        <v>2.1750000000000003</v>
      </c>
    </row>
    <row r="12" spans="1:11" s="5" customFormat="1" ht="27.6" customHeight="1" thickBot="1" x14ac:dyDescent="0.3">
      <c r="A12" s="23">
        <v>2</v>
      </c>
      <c r="B12" s="49" t="s">
        <v>2561</v>
      </c>
      <c r="C12" s="15" t="s">
        <v>39</v>
      </c>
      <c r="D12" s="7" t="s">
        <v>96</v>
      </c>
      <c r="E12" s="14" t="s">
        <v>1050</v>
      </c>
      <c r="F12" s="13" t="s">
        <v>1114</v>
      </c>
      <c r="G12" s="13">
        <v>6</v>
      </c>
      <c r="H12" s="10">
        <f>2</f>
        <v>2</v>
      </c>
      <c r="I12" s="10">
        <v>2</v>
      </c>
      <c r="J12" s="10">
        <v>0</v>
      </c>
      <c r="K12" s="35">
        <f t="shared" ref="K12:K50" si="0">J12+H12</f>
        <v>2</v>
      </c>
    </row>
    <row r="13" spans="1:11" s="5" customFormat="1" ht="27" customHeight="1" thickBot="1" x14ac:dyDescent="0.3">
      <c r="A13" s="23">
        <v>3</v>
      </c>
      <c r="B13" s="49" t="s">
        <v>2562</v>
      </c>
      <c r="C13" s="15" t="s">
        <v>39</v>
      </c>
      <c r="D13" s="7" t="s">
        <v>1627</v>
      </c>
      <c r="E13" s="14" t="s">
        <v>1050</v>
      </c>
      <c r="F13" s="13" t="s">
        <v>1051</v>
      </c>
      <c r="G13" s="13">
        <v>4</v>
      </c>
      <c r="H13" s="10">
        <v>0.82499999999999996</v>
      </c>
      <c r="I13" s="10">
        <v>0.82499999999999996</v>
      </c>
      <c r="J13" s="10">
        <v>0</v>
      </c>
      <c r="K13" s="35">
        <f t="shared" si="0"/>
        <v>0.82499999999999996</v>
      </c>
    </row>
    <row r="14" spans="1:11" s="5" customFormat="1" ht="31.15" customHeight="1" thickBot="1" x14ac:dyDescent="0.3">
      <c r="A14" s="23">
        <v>4</v>
      </c>
      <c r="B14" s="49" t="s">
        <v>2563</v>
      </c>
      <c r="C14" s="15" t="s">
        <v>39</v>
      </c>
      <c r="D14" s="7" t="s">
        <v>97</v>
      </c>
      <c r="E14" s="14" t="s">
        <v>1050</v>
      </c>
      <c r="F14" s="13" t="s">
        <v>1051</v>
      </c>
      <c r="G14" s="13">
        <v>4</v>
      </c>
      <c r="H14" s="10">
        <v>1.627</v>
      </c>
      <c r="I14" s="10">
        <v>1.627</v>
      </c>
      <c r="J14" s="10">
        <v>0</v>
      </c>
      <c r="K14" s="35">
        <f t="shared" si="0"/>
        <v>1.627</v>
      </c>
    </row>
    <row r="15" spans="1:11" s="5" customFormat="1" ht="31.15" customHeight="1" thickBot="1" x14ac:dyDescent="0.3">
      <c r="A15" s="23">
        <v>5</v>
      </c>
      <c r="B15" s="49" t="s">
        <v>2564</v>
      </c>
      <c r="C15" s="15" t="s">
        <v>39</v>
      </c>
      <c r="D15" s="7" t="s">
        <v>98</v>
      </c>
      <c r="E15" s="14" t="s">
        <v>1050</v>
      </c>
      <c r="F15" s="13" t="s">
        <v>1051</v>
      </c>
      <c r="G15" s="13">
        <v>4</v>
      </c>
      <c r="H15" s="10">
        <f>0.344+0.414</f>
        <v>0.75800000000000001</v>
      </c>
      <c r="I15" s="10">
        <f>0.344+0.414</f>
        <v>0.75800000000000001</v>
      </c>
      <c r="J15" s="10">
        <v>0</v>
      </c>
      <c r="K15" s="35">
        <f t="shared" si="0"/>
        <v>0.75800000000000001</v>
      </c>
    </row>
    <row r="16" spans="1:11" s="5" customFormat="1" ht="25.9" customHeight="1" thickBot="1" x14ac:dyDescent="0.3">
      <c r="A16" s="23">
        <v>6</v>
      </c>
      <c r="B16" s="49" t="s">
        <v>2565</v>
      </c>
      <c r="C16" s="15" t="s">
        <v>39</v>
      </c>
      <c r="D16" s="7" t="s">
        <v>99</v>
      </c>
      <c r="E16" s="14" t="s">
        <v>1050</v>
      </c>
      <c r="F16" s="13" t="s">
        <v>1051</v>
      </c>
      <c r="G16" s="13">
        <v>4</v>
      </c>
      <c r="H16" s="10">
        <v>0.80900000000000005</v>
      </c>
      <c r="I16" s="10">
        <v>0.80900000000000005</v>
      </c>
      <c r="J16" s="10">
        <v>0</v>
      </c>
      <c r="K16" s="35">
        <f t="shared" si="0"/>
        <v>0.80900000000000005</v>
      </c>
    </row>
    <row r="17" spans="1:11" s="5" customFormat="1" ht="28.15" customHeight="1" thickBot="1" x14ac:dyDescent="0.3">
      <c r="A17" s="23">
        <v>7</v>
      </c>
      <c r="B17" s="49" t="s">
        <v>2566</v>
      </c>
      <c r="C17" s="15" t="s">
        <v>39</v>
      </c>
      <c r="D17" s="7" t="s">
        <v>100</v>
      </c>
      <c r="E17" s="14" t="s">
        <v>1050</v>
      </c>
      <c r="F17" s="13" t="s">
        <v>1051</v>
      </c>
      <c r="G17" s="13">
        <v>4</v>
      </c>
      <c r="H17" s="10">
        <f>1.066+0.083</f>
        <v>1.149</v>
      </c>
      <c r="I17" s="10">
        <v>1.0660000000000001</v>
      </c>
      <c r="J17" s="10">
        <v>0</v>
      </c>
      <c r="K17" s="35">
        <f t="shared" si="0"/>
        <v>1.149</v>
      </c>
    </row>
    <row r="18" spans="1:11" s="5" customFormat="1" ht="25.9" customHeight="1" thickBot="1" x14ac:dyDescent="0.3">
      <c r="A18" s="23">
        <v>8</v>
      </c>
      <c r="B18" s="49" t="s">
        <v>2567</v>
      </c>
      <c r="C18" s="15" t="s">
        <v>39</v>
      </c>
      <c r="D18" s="7" t="s">
        <v>101</v>
      </c>
      <c r="E18" s="14" t="s">
        <v>1050</v>
      </c>
      <c r="F18" s="13" t="s">
        <v>1114</v>
      </c>
      <c r="G18" s="58">
        <v>6</v>
      </c>
      <c r="H18" s="10">
        <f>0.53+0.305</f>
        <v>0.83499999999999996</v>
      </c>
      <c r="I18" s="10">
        <f>0.53+0.305</f>
        <v>0.83499999999999996</v>
      </c>
      <c r="J18" s="129">
        <v>0.23400000000000001</v>
      </c>
      <c r="K18" s="35">
        <f t="shared" si="0"/>
        <v>1.069</v>
      </c>
    </row>
    <row r="19" spans="1:11" s="5" customFormat="1" ht="33.6" customHeight="1" thickBot="1" x14ac:dyDescent="0.3">
      <c r="A19" s="23">
        <v>9</v>
      </c>
      <c r="B19" s="49" t="s">
        <v>2568</v>
      </c>
      <c r="C19" s="15" t="s">
        <v>39</v>
      </c>
      <c r="D19" s="7" t="s">
        <v>102</v>
      </c>
      <c r="E19" s="14" t="s">
        <v>1050</v>
      </c>
      <c r="F19" s="13" t="s">
        <v>1051</v>
      </c>
      <c r="G19" s="13">
        <v>4</v>
      </c>
      <c r="H19" s="10">
        <f>0.52+0.26</f>
        <v>0.78</v>
      </c>
      <c r="I19" s="10">
        <f>0.52+0.26</f>
        <v>0.78</v>
      </c>
      <c r="J19" s="10">
        <v>0</v>
      </c>
      <c r="K19" s="35">
        <f t="shared" si="0"/>
        <v>0.78</v>
      </c>
    </row>
    <row r="20" spans="1:11" s="5" customFormat="1" ht="31.9" customHeight="1" thickBot="1" x14ac:dyDescent="0.3">
      <c r="A20" s="23">
        <v>10</v>
      </c>
      <c r="B20" s="49" t="s">
        <v>2569</v>
      </c>
      <c r="C20" s="15" t="s">
        <v>39</v>
      </c>
      <c r="D20" s="7" t="s">
        <v>103</v>
      </c>
      <c r="E20" s="14" t="s">
        <v>1050</v>
      </c>
      <c r="F20" s="13" t="s">
        <v>1051</v>
      </c>
      <c r="G20" s="13">
        <v>4</v>
      </c>
      <c r="H20" s="10">
        <v>0.54700000000000004</v>
      </c>
      <c r="I20" s="10">
        <v>0.54700000000000004</v>
      </c>
      <c r="J20" s="10">
        <v>0</v>
      </c>
      <c r="K20" s="35">
        <f t="shared" si="0"/>
        <v>0.54700000000000004</v>
      </c>
    </row>
    <row r="21" spans="1:11" s="5" customFormat="1" ht="27" customHeight="1" thickBot="1" x14ac:dyDescent="0.3">
      <c r="A21" s="23">
        <v>11</v>
      </c>
      <c r="B21" s="49" t="s">
        <v>2570</v>
      </c>
      <c r="C21" s="15" t="s">
        <v>39</v>
      </c>
      <c r="D21" s="7" t="s">
        <v>104</v>
      </c>
      <c r="E21" s="14" t="s">
        <v>1050</v>
      </c>
      <c r="F21" s="13" t="s">
        <v>1051</v>
      </c>
      <c r="G21" s="13">
        <v>4</v>
      </c>
      <c r="H21" s="10">
        <f>0.633+0.147+0.5</f>
        <v>1.28</v>
      </c>
      <c r="I21" s="10">
        <f>0.633+0.5</f>
        <v>1.133</v>
      </c>
      <c r="J21" s="10">
        <v>0</v>
      </c>
      <c r="K21" s="35">
        <f t="shared" si="0"/>
        <v>1.28</v>
      </c>
    </row>
    <row r="22" spans="1:11" s="5" customFormat="1" ht="29.45" customHeight="1" thickBot="1" x14ac:dyDescent="0.3">
      <c r="A22" s="23">
        <v>12</v>
      </c>
      <c r="B22" s="49" t="s">
        <v>2571</v>
      </c>
      <c r="C22" s="15" t="s">
        <v>39</v>
      </c>
      <c r="D22" s="7" t="s">
        <v>105</v>
      </c>
      <c r="E22" s="14" t="s">
        <v>1050</v>
      </c>
      <c r="F22" s="13" t="s">
        <v>1051</v>
      </c>
      <c r="G22" s="13">
        <v>4</v>
      </c>
      <c r="H22" s="10">
        <v>0.56599999999999995</v>
      </c>
      <c r="I22" s="10">
        <v>0.56599999999999995</v>
      </c>
      <c r="J22" s="10">
        <v>0</v>
      </c>
      <c r="K22" s="35">
        <f t="shared" si="0"/>
        <v>0.56599999999999995</v>
      </c>
    </row>
    <row r="23" spans="1:11" s="5" customFormat="1" ht="33.75" customHeight="1" thickBot="1" x14ac:dyDescent="0.3">
      <c r="A23" s="23">
        <v>13</v>
      </c>
      <c r="B23" s="49" t="s">
        <v>2572</v>
      </c>
      <c r="C23" s="15" t="s">
        <v>39</v>
      </c>
      <c r="D23" s="7" t="s">
        <v>106</v>
      </c>
      <c r="E23" s="14" t="s">
        <v>1050</v>
      </c>
      <c r="F23" s="13" t="s">
        <v>1051</v>
      </c>
      <c r="G23" s="13">
        <v>4.5</v>
      </c>
      <c r="H23" s="10">
        <f>0.728+0.791</f>
        <v>1.5190000000000001</v>
      </c>
      <c r="I23" s="10">
        <v>1.075</v>
      </c>
      <c r="J23" s="10">
        <v>0</v>
      </c>
      <c r="K23" s="35">
        <f t="shared" si="0"/>
        <v>1.5190000000000001</v>
      </c>
    </row>
    <row r="24" spans="1:11" s="5" customFormat="1" ht="29.45" customHeight="1" thickBot="1" x14ac:dyDescent="0.3">
      <c r="A24" s="23">
        <v>14</v>
      </c>
      <c r="B24" s="49" t="s">
        <v>2573</v>
      </c>
      <c r="C24" s="15" t="s">
        <v>976</v>
      </c>
      <c r="D24" s="7" t="s">
        <v>107</v>
      </c>
      <c r="E24" s="14" t="s">
        <v>1050</v>
      </c>
      <c r="F24" s="13" t="s">
        <v>1051</v>
      </c>
      <c r="G24" s="13">
        <v>4</v>
      </c>
      <c r="H24" s="10">
        <v>0.219</v>
      </c>
      <c r="I24" s="10">
        <v>0.219</v>
      </c>
      <c r="J24" s="10">
        <v>0</v>
      </c>
      <c r="K24" s="35">
        <f t="shared" si="0"/>
        <v>0.219</v>
      </c>
    </row>
    <row r="25" spans="1:11" s="5" customFormat="1" ht="27" customHeight="1" x14ac:dyDescent="0.25">
      <c r="A25" s="23">
        <v>15</v>
      </c>
      <c r="B25" s="49" t="s">
        <v>2574</v>
      </c>
      <c r="C25" s="15" t="s">
        <v>39</v>
      </c>
      <c r="D25" s="7" t="s">
        <v>1626</v>
      </c>
      <c r="E25" s="14" t="s">
        <v>1050</v>
      </c>
      <c r="F25" s="13" t="s">
        <v>1051</v>
      </c>
      <c r="G25" s="13">
        <v>3</v>
      </c>
      <c r="H25" s="10">
        <v>0.32700000000000001</v>
      </c>
      <c r="I25" s="10">
        <v>0.32700000000000001</v>
      </c>
      <c r="J25" s="10">
        <v>0</v>
      </c>
      <c r="K25" s="35">
        <f t="shared" si="0"/>
        <v>0.32700000000000001</v>
      </c>
    </row>
    <row r="26" spans="1:11" s="5" customFormat="1" ht="33.75" customHeight="1" x14ac:dyDescent="0.25">
      <c r="A26" s="23">
        <v>16</v>
      </c>
      <c r="B26" s="49" t="s">
        <v>2575</v>
      </c>
      <c r="C26" s="15" t="s">
        <v>976</v>
      </c>
      <c r="D26" s="7" t="s">
        <v>108</v>
      </c>
      <c r="E26" s="14" t="s">
        <v>1050</v>
      </c>
      <c r="F26" s="13" t="s">
        <v>1051</v>
      </c>
      <c r="G26" s="58">
        <v>4</v>
      </c>
      <c r="H26" s="10">
        <v>0.21199999999999999</v>
      </c>
      <c r="I26" s="10">
        <v>0.21199999999999999</v>
      </c>
      <c r="J26" s="10">
        <v>0.503</v>
      </c>
      <c r="K26" s="47">
        <f t="shared" si="0"/>
        <v>0.71499999999999997</v>
      </c>
    </row>
    <row r="27" spans="1:11" s="5" customFormat="1" ht="31.9" customHeight="1" x14ac:dyDescent="0.25">
      <c r="A27" s="23">
        <v>17</v>
      </c>
      <c r="B27" s="49" t="s">
        <v>2576</v>
      </c>
      <c r="C27" s="15" t="s">
        <v>976</v>
      </c>
      <c r="D27" s="7" t="s">
        <v>109</v>
      </c>
      <c r="E27" s="14" t="s">
        <v>1050</v>
      </c>
      <c r="F27" s="13" t="s">
        <v>1051</v>
      </c>
      <c r="G27" s="13">
        <v>3.5</v>
      </c>
      <c r="H27" s="10">
        <f>0.15+0.333+0.241+0.152+0.124</f>
        <v>1</v>
      </c>
      <c r="I27" s="10">
        <f>0.15+0.333+0.241+0.152</f>
        <v>0.876</v>
      </c>
      <c r="J27" s="10">
        <v>0</v>
      </c>
      <c r="K27" s="47">
        <f t="shared" si="0"/>
        <v>1</v>
      </c>
    </row>
    <row r="28" spans="1:11" s="5" customFormat="1" ht="33" customHeight="1" x14ac:dyDescent="0.25">
      <c r="A28" s="23">
        <v>18</v>
      </c>
      <c r="B28" s="49" t="s">
        <v>2577</v>
      </c>
      <c r="C28" s="15" t="s">
        <v>976</v>
      </c>
      <c r="D28" s="7" t="s">
        <v>110</v>
      </c>
      <c r="E28" s="14" t="s">
        <v>1050</v>
      </c>
      <c r="F28" s="13" t="s">
        <v>1051</v>
      </c>
      <c r="G28" s="13">
        <v>3</v>
      </c>
      <c r="H28" s="10">
        <v>0.12</v>
      </c>
      <c r="I28" s="10">
        <v>0</v>
      </c>
      <c r="J28" s="10">
        <v>0</v>
      </c>
      <c r="K28" s="47">
        <f t="shared" si="0"/>
        <v>0.12</v>
      </c>
    </row>
    <row r="29" spans="1:11" s="5" customFormat="1" ht="23.25" customHeight="1" x14ac:dyDescent="0.25">
      <c r="A29" s="23">
        <v>19</v>
      </c>
      <c r="B29" s="49" t="s">
        <v>2578</v>
      </c>
      <c r="C29" s="15" t="s">
        <v>38</v>
      </c>
      <c r="D29" s="7" t="s">
        <v>111</v>
      </c>
      <c r="E29" s="14" t="s">
        <v>1050</v>
      </c>
      <c r="F29" s="13" t="s">
        <v>1051</v>
      </c>
      <c r="G29" s="13">
        <v>3.5</v>
      </c>
      <c r="H29" s="10">
        <v>0</v>
      </c>
      <c r="I29" s="10">
        <v>0</v>
      </c>
      <c r="J29" s="10">
        <v>0.78600000000000003</v>
      </c>
      <c r="K29" s="47">
        <f t="shared" si="0"/>
        <v>0.78600000000000003</v>
      </c>
    </row>
    <row r="30" spans="1:11" s="5" customFormat="1" ht="23.25" customHeight="1" x14ac:dyDescent="0.25">
      <c r="A30" s="23">
        <v>20</v>
      </c>
      <c r="B30" s="49" t="s">
        <v>2579</v>
      </c>
      <c r="C30" s="15" t="s">
        <v>38</v>
      </c>
      <c r="D30" s="7" t="s">
        <v>112</v>
      </c>
      <c r="E30" s="14" t="s">
        <v>1050</v>
      </c>
      <c r="F30" s="13" t="s">
        <v>1051</v>
      </c>
      <c r="G30" s="13">
        <v>3.5</v>
      </c>
      <c r="H30" s="10">
        <v>0</v>
      </c>
      <c r="I30" s="10">
        <v>0</v>
      </c>
      <c r="J30" s="10">
        <v>1.23</v>
      </c>
      <c r="K30" s="47">
        <f t="shared" si="0"/>
        <v>1.23</v>
      </c>
    </row>
    <row r="31" spans="1:11" s="5" customFormat="1" ht="33.75" customHeight="1" x14ac:dyDescent="0.25">
      <c r="A31" s="23">
        <v>21</v>
      </c>
      <c r="B31" s="49" t="s">
        <v>2580</v>
      </c>
      <c r="C31" s="15" t="s">
        <v>38</v>
      </c>
      <c r="D31" s="7" t="s">
        <v>113</v>
      </c>
      <c r="E31" s="14" t="s">
        <v>1050</v>
      </c>
      <c r="F31" s="13" t="s">
        <v>1051</v>
      </c>
      <c r="G31" s="13">
        <v>3.5</v>
      </c>
      <c r="H31" s="10">
        <v>0</v>
      </c>
      <c r="I31" s="10">
        <v>0</v>
      </c>
      <c r="J31" s="10">
        <v>3.661</v>
      </c>
      <c r="K31" s="47">
        <f t="shared" si="0"/>
        <v>3.661</v>
      </c>
    </row>
    <row r="32" spans="1:11" s="5" customFormat="1" ht="27.6" customHeight="1" x14ac:dyDescent="0.25">
      <c r="A32" s="23">
        <v>22</v>
      </c>
      <c r="B32" s="49" t="s">
        <v>2581</v>
      </c>
      <c r="C32" s="15" t="s">
        <v>38</v>
      </c>
      <c r="D32" s="7" t="s">
        <v>114</v>
      </c>
      <c r="E32" s="14" t="s">
        <v>1050</v>
      </c>
      <c r="F32" s="13" t="s">
        <v>1051</v>
      </c>
      <c r="G32" s="13">
        <v>3.5</v>
      </c>
      <c r="H32" s="10">
        <v>0</v>
      </c>
      <c r="I32" s="10">
        <v>0</v>
      </c>
      <c r="J32" s="10">
        <v>1.3149999999999999</v>
      </c>
      <c r="K32" s="47">
        <f t="shared" si="0"/>
        <v>1.3149999999999999</v>
      </c>
    </row>
    <row r="33" spans="1:11" s="5" customFormat="1" ht="25.15" customHeight="1" x14ac:dyDescent="0.25">
      <c r="A33" s="23">
        <v>23</v>
      </c>
      <c r="B33" s="49" t="s">
        <v>2582</v>
      </c>
      <c r="C33" s="15" t="s">
        <v>38</v>
      </c>
      <c r="D33" s="7" t="s">
        <v>115</v>
      </c>
      <c r="E33" s="14" t="s">
        <v>1050</v>
      </c>
      <c r="F33" s="13" t="s">
        <v>1051</v>
      </c>
      <c r="G33" s="13">
        <v>3.5</v>
      </c>
      <c r="H33" s="10">
        <v>0</v>
      </c>
      <c r="I33" s="10">
        <v>0</v>
      </c>
      <c r="J33" s="10">
        <v>1.25</v>
      </c>
      <c r="K33" s="47">
        <f t="shared" si="0"/>
        <v>1.25</v>
      </c>
    </row>
    <row r="34" spans="1:11" s="5" customFormat="1" ht="30.6" customHeight="1" x14ac:dyDescent="0.25">
      <c r="A34" s="23">
        <v>24</v>
      </c>
      <c r="B34" s="49" t="s">
        <v>2583</v>
      </c>
      <c r="C34" s="15" t="s">
        <v>38</v>
      </c>
      <c r="D34" s="7" t="s">
        <v>116</v>
      </c>
      <c r="E34" s="14" t="s">
        <v>1050</v>
      </c>
      <c r="F34" s="13" t="s">
        <v>1051</v>
      </c>
      <c r="G34" s="13">
        <v>3.5</v>
      </c>
      <c r="H34" s="10">
        <v>0</v>
      </c>
      <c r="I34" s="10">
        <v>0</v>
      </c>
      <c r="J34" s="10">
        <v>2.2589999999999999</v>
      </c>
      <c r="K34" s="47">
        <f t="shared" si="0"/>
        <v>2.2589999999999999</v>
      </c>
    </row>
    <row r="35" spans="1:11" s="5" customFormat="1" ht="38.25" customHeight="1" x14ac:dyDescent="0.25">
      <c r="A35" s="23">
        <v>25</v>
      </c>
      <c r="B35" s="49" t="s">
        <v>2584</v>
      </c>
      <c r="C35" s="15" t="s">
        <v>38</v>
      </c>
      <c r="D35" s="7" t="s">
        <v>117</v>
      </c>
      <c r="E35" s="14" t="s">
        <v>1050</v>
      </c>
      <c r="F35" s="13" t="s">
        <v>1051</v>
      </c>
      <c r="G35" s="13">
        <v>3.5</v>
      </c>
      <c r="H35" s="10">
        <v>0</v>
      </c>
      <c r="I35" s="10">
        <v>0</v>
      </c>
      <c r="J35" s="10">
        <v>0.81499999999999995</v>
      </c>
      <c r="K35" s="47">
        <f t="shared" si="0"/>
        <v>0.81499999999999995</v>
      </c>
    </row>
    <row r="36" spans="1:11" s="5" customFormat="1" ht="33.75" customHeight="1" x14ac:dyDescent="0.25">
      <c r="A36" s="23">
        <v>26</v>
      </c>
      <c r="B36" s="49" t="s">
        <v>2585</v>
      </c>
      <c r="C36" s="15" t="s">
        <v>38</v>
      </c>
      <c r="D36" s="7" t="s">
        <v>118</v>
      </c>
      <c r="E36" s="14" t="s">
        <v>1050</v>
      </c>
      <c r="F36" s="13" t="s">
        <v>1051</v>
      </c>
      <c r="G36" s="13">
        <v>3.5</v>
      </c>
      <c r="H36" s="10">
        <v>0</v>
      </c>
      <c r="I36" s="10">
        <v>0</v>
      </c>
      <c r="J36" s="10">
        <v>2.2160000000000002</v>
      </c>
      <c r="K36" s="47">
        <f t="shared" si="0"/>
        <v>2.2160000000000002</v>
      </c>
    </row>
    <row r="37" spans="1:11" s="5" customFormat="1" ht="25.9" customHeight="1" x14ac:dyDescent="0.25">
      <c r="A37" s="23">
        <v>27</v>
      </c>
      <c r="B37" s="49" t="s">
        <v>2586</v>
      </c>
      <c r="C37" s="15" t="s">
        <v>38</v>
      </c>
      <c r="D37" s="7" t="s">
        <v>119</v>
      </c>
      <c r="E37" s="14" t="s">
        <v>1050</v>
      </c>
      <c r="F37" s="13" t="s">
        <v>1051</v>
      </c>
      <c r="G37" s="13">
        <v>3.5</v>
      </c>
      <c r="H37" s="10">
        <v>0</v>
      </c>
      <c r="I37" s="10">
        <v>0</v>
      </c>
      <c r="J37" s="10">
        <v>1.8</v>
      </c>
      <c r="K37" s="47">
        <f t="shared" si="0"/>
        <v>1.8</v>
      </c>
    </row>
    <row r="38" spans="1:11" s="5" customFormat="1" ht="34.9" customHeight="1" x14ac:dyDescent="0.25">
      <c r="A38" s="23">
        <v>28</v>
      </c>
      <c r="B38" s="49" t="s">
        <v>2587</v>
      </c>
      <c r="C38" s="15" t="s">
        <v>38</v>
      </c>
      <c r="D38" s="7" t="s">
        <v>120</v>
      </c>
      <c r="E38" s="14" t="s">
        <v>1050</v>
      </c>
      <c r="F38" s="13" t="s">
        <v>1051</v>
      </c>
      <c r="G38" s="13">
        <v>3.5</v>
      </c>
      <c r="H38" s="10">
        <v>0</v>
      </c>
      <c r="I38" s="10">
        <v>0</v>
      </c>
      <c r="J38" s="10">
        <v>0.78400000000000003</v>
      </c>
      <c r="K38" s="47">
        <f t="shared" si="0"/>
        <v>0.78400000000000003</v>
      </c>
    </row>
    <row r="39" spans="1:11" s="5" customFormat="1" ht="33.75" customHeight="1" x14ac:dyDescent="0.25">
      <c r="A39" s="23">
        <v>29</v>
      </c>
      <c r="B39" s="49" t="s">
        <v>2588</v>
      </c>
      <c r="C39" s="15" t="s">
        <v>38</v>
      </c>
      <c r="D39" s="7" t="s">
        <v>121</v>
      </c>
      <c r="E39" s="14" t="s">
        <v>1050</v>
      </c>
      <c r="F39" s="13" t="s">
        <v>1051</v>
      </c>
      <c r="G39" s="13">
        <v>3.5</v>
      </c>
      <c r="H39" s="10">
        <v>0</v>
      </c>
      <c r="I39" s="10">
        <v>0</v>
      </c>
      <c r="J39" s="10">
        <v>0.78700000000000003</v>
      </c>
      <c r="K39" s="47">
        <f t="shared" si="0"/>
        <v>0.78700000000000003</v>
      </c>
    </row>
    <row r="40" spans="1:11" s="5" customFormat="1" ht="34.5" customHeight="1" x14ac:dyDescent="0.25">
      <c r="A40" s="23">
        <v>30</v>
      </c>
      <c r="B40" s="49" t="s">
        <v>2589</v>
      </c>
      <c r="C40" s="15" t="s">
        <v>38</v>
      </c>
      <c r="D40" s="7" t="s">
        <v>122</v>
      </c>
      <c r="E40" s="14" t="s">
        <v>1050</v>
      </c>
      <c r="F40" s="13" t="s">
        <v>1051</v>
      </c>
      <c r="G40" s="13">
        <v>3.5</v>
      </c>
      <c r="H40" s="10">
        <v>0</v>
      </c>
      <c r="I40" s="10">
        <v>0</v>
      </c>
      <c r="J40" s="10">
        <v>1.026</v>
      </c>
      <c r="K40" s="47">
        <f t="shared" si="0"/>
        <v>1.026</v>
      </c>
    </row>
    <row r="41" spans="1:11" s="5" customFormat="1" ht="36" customHeight="1" x14ac:dyDescent="0.25">
      <c r="A41" s="23">
        <v>31</v>
      </c>
      <c r="B41" s="49" t="s">
        <v>2590</v>
      </c>
      <c r="C41" s="15" t="s">
        <v>38</v>
      </c>
      <c r="D41" s="7" t="s">
        <v>123</v>
      </c>
      <c r="E41" s="14" t="s">
        <v>1050</v>
      </c>
      <c r="F41" s="13" t="s">
        <v>1051</v>
      </c>
      <c r="G41" s="13">
        <v>3.5</v>
      </c>
      <c r="H41" s="10">
        <v>0</v>
      </c>
      <c r="I41" s="10">
        <v>0</v>
      </c>
      <c r="J41" s="10">
        <v>0.53</v>
      </c>
      <c r="K41" s="47">
        <f t="shared" si="0"/>
        <v>0.53</v>
      </c>
    </row>
    <row r="42" spans="1:11" s="5" customFormat="1" ht="37.5" customHeight="1" x14ac:dyDescent="0.25">
      <c r="A42" s="23">
        <v>32</v>
      </c>
      <c r="B42" s="49" t="s">
        <v>2591</v>
      </c>
      <c r="C42" s="15" t="s">
        <v>38</v>
      </c>
      <c r="D42" s="7" t="s">
        <v>124</v>
      </c>
      <c r="E42" s="14" t="s">
        <v>1050</v>
      </c>
      <c r="F42" s="13" t="s">
        <v>1051</v>
      </c>
      <c r="G42" s="13">
        <v>3.5</v>
      </c>
      <c r="H42" s="10">
        <v>0</v>
      </c>
      <c r="I42" s="10">
        <v>0</v>
      </c>
      <c r="J42" s="10">
        <v>0.25</v>
      </c>
      <c r="K42" s="47">
        <f t="shared" si="0"/>
        <v>0.25</v>
      </c>
    </row>
    <row r="43" spans="1:11" s="5" customFormat="1" ht="31.15" customHeight="1" x14ac:dyDescent="0.25">
      <c r="A43" s="23">
        <v>33</v>
      </c>
      <c r="B43" s="49" t="s">
        <v>2592</v>
      </c>
      <c r="C43" s="15" t="s">
        <v>38</v>
      </c>
      <c r="D43" s="7" t="s">
        <v>125</v>
      </c>
      <c r="E43" s="14" t="s">
        <v>1050</v>
      </c>
      <c r="F43" s="13" t="s">
        <v>1051</v>
      </c>
      <c r="G43" s="13">
        <v>3.5</v>
      </c>
      <c r="H43" s="10">
        <v>0</v>
      </c>
      <c r="I43" s="10">
        <v>0</v>
      </c>
      <c r="J43" s="10">
        <v>1.4139999999999999</v>
      </c>
      <c r="K43" s="47">
        <f t="shared" si="0"/>
        <v>1.4139999999999999</v>
      </c>
    </row>
    <row r="44" spans="1:11" s="5" customFormat="1" ht="36" customHeight="1" x14ac:dyDescent="0.25">
      <c r="A44" s="23">
        <v>34</v>
      </c>
      <c r="B44" s="49" t="s">
        <v>2593</v>
      </c>
      <c r="C44" s="15" t="s">
        <v>38</v>
      </c>
      <c r="D44" s="7" t="s">
        <v>997</v>
      </c>
      <c r="E44" s="14" t="s">
        <v>1050</v>
      </c>
      <c r="F44" s="13" t="s">
        <v>1051</v>
      </c>
      <c r="G44" s="13">
        <v>3.5</v>
      </c>
      <c r="H44" s="10">
        <v>0</v>
      </c>
      <c r="I44" s="10">
        <v>0</v>
      </c>
      <c r="J44" s="10">
        <v>5.7969999999999997</v>
      </c>
      <c r="K44" s="47">
        <f t="shared" si="0"/>
        <v>5.7969999999999997</v>
      </c>
    </row>
    <row r="45" spans="1:11" s="5" customFormat="1" ht="36.75" customHeight="1" x14ac:dyDescent="0.25">
      <c r="A45" s="23">
        <v>35</v>
      </c>
      <c r="B45" s="49" t="s">
        <v>2594</v>
      </c>
      <c r="C45" s="15" t="s">
        <v>38</v>
      </c>
      <c r="D45" s="7" t="s">
        <v>126</v>
      </c>
      <c r="E45" s="14" t="s">
        <v>1050</v>
      </c>
      <c r="F45" s="13" t="s">
        <v>1051</v>
      </c>
      <c r="G45" s="13">
        <v>3.5</v>
      </c>
      <c r="H45" s="10">
        <v>0</v>
      </c>
      <c r="I45" s="10">
        <v>0</v>
      </c>
      <c r="J45" s="10">
        <v>3.0830000000000002</v>
      </c>
      <c r="K45" s="47">
        <f t="shared" si="0"/>
        <v>3.0830000000000002</v>
      </c>
    </row>
    <row r="46" spans="1:11" s="5" customFormat="1" ht="23.25" customHeight="1" x14ac:dyDescent="0.25">
      <c r="A46" s="23">
        <v>36</v>
      </c>
      <c r="B46" s="49" t="s">
        <v>2595</v>
      </c>
      <c r="C46" s="15" t="s">
        <v>38</v>
      </c>
      <c r="D46" s="7" t="s">
        <v>127</v>
      </c>
      <c r="E46" s="14" t="s">
        <v>1050</v>
      </c>
      <c r="F46" s="13" t="s">
        <v>1051</v>
      </c>
      <c r="G46" s="13">
        <v>3.5</v>
      </c>
      <c r="H46" s="10">
        <v>4.577</v>
      </c>
      <c r="I46" s="10">
        <v>0</v>
      </c>
      <c r="J46" s="10">
        <v>0</v>
      </c>
      <c r="K46" s="47">
        <f t="shared" si="0"/>
        <v>4.577</v>
      </c>
    </row>
    <row r="47" spans="1:11" s="5" customFormat="1" ht="32.25" customHeight="1" x14ac:dyDescent="0.25">
      <c r="A47" s="23">
        <v>37</v>
      </c>
      <c r="B47" s="49" t="s">
        <v>2596</v>
      </c>
      <c r="C47" s="15" t="s">
        <v>38</v>
      </c>
      <c r="D47" s="7" t="s">
        <v>128</v>
      </c>
      <c r="E47" s="14" t="s">
        <v>1050</v>
      </c>
      <c r="F47" s="13" t="s">
        <v>1051</v>
      </c>
      <c r="G47" s="13">
        <v>3.5</v>
      </c>
      <c r="H47" s="10">
        <v>0</v>
      </c>
      <c r="I47" s="10">
        <v>0</v>
      </c>
      <c r="J47" s="10">
        <v>11.78</v>
      </c>
      <c r="K47" s="47">
        <f t="shared" si="0"/>
        <v>11.78</v>
      </c>
    </row>
    <row r="48" spans="1:11" s="5" customFormat="1" ht="32.25" customHeight="1" x14ac:dyDescent="0.25">
      <c r="A48" s="23">
        <v>38</v>
      </c>
      <c r="B48" s="49" t="s">
        <v>2597</v>
      </c>
      <c r="C48" s="15" t="s">
        <v>38</v>
      </c>
      <c r="D48" s="7" t="s">
        <v>129</v>
      </c>
      <c r="E48" s="14" t="s">
        <v>1050</v>
      </c>
      <c r="F48" s="13" t="s">
        <v>1051</v>
      </c>
      <c r="G48" s="13">
        <v>3.5</v>
      </c>
      <c r="H48" s="10">
        <v>3.9820000000000002</v>
      </c>
      <c r="I48" s="10">
        <v>0</v>
      </c>
      <c r="J48" s="10">
        <v>0</v>
      </c>
      <c r="K48" s="47">
        <f t="shared" si="0"/>
        <v>3.9820000000000002</v>
      </c>
    </row>
    <row r="49" spans="1:11" s="5" customFormat="1" ht="33" customHeight="1" x14ac:dyDescent="0.25">
      <c r="A49" s="23">
        <v>39</v>
      </c>
      <c r="B49" s="49" t="s">
        <v>2598</v>
      </c>
      <c r="C49" s="15" t="s">
        <v>38</v>
      </c>
      <c r="D49" s="7" t="s">
        <v>996</v>
      </c>
      <c r="E49" s="14" t="s">
        <v>1050</v>
      </c>
      <c r="F49" s="13" t="s">
        <v>1051</v>
      </c>
      <c r="G49" s="13">
        <v>3.5</v>
      </c>
      <c r="H49" s="10">
        <v>0</v>
      </c>
      <c r="I49" s="10">
        <v>0</v>
      </c>
      <c r="J49" s="10">
        <v>4.5679999999999996</v>
      </c>
      <c r="K49" s="47">
        <f t="shared" si="0"/>
        <v>4.5679999999999996</v>
      </c>
    </row>
    <row r="50" spans="1:11" s="5" customFormat="1" ht="34.15" customHeight="1" x14ac:dyDescent="0.25">
      <c r="A50" s="23">
        <v>40</v>
      </c>
      <c r="B50" s="49" t="s">
        <v>2599</v>
      </c>
      <c r="C50" s="15" t="s">
        <v>38</v>
      </c>
      <c r="D50" s="7" t="s">
        <v>998</v>
      </c>
      <c r="E50" s="14" t="s">
        <v>1050</v>
      </c>
      <c r="F50" s="13" t="s">
        <v>1051</v>
      </c>
      <c r="G50" s="13">
        <v>3.5</v>
      </c>
      <c r="H50" s="10">
        <v>0</v>
      </c>
      <c r="I50" s="10">
        <v>0</v>
      </c>
      <c r="J50" s="10">
        <v>5.0670000000000002</v>
      </c>
      <c r="K50" s="47">
        <f t="shared" si="0"/>
        <v>5.0670000000000002</v>
      </c>
    </row>
  </sheetData>
  <sheetProtection insertRows="0" deleteRows="0" sort="0"/>
  <mergeCells count="9">
    <mergeCell ref="C1:I1"/>
    <mergeCell ref="K7:K8"/>
    <mergeCell ref="G7:G8"/>
    <mergeCell ref="F7:F8"/>
    <mergeCell ref="A7:A8"/>
    <mergeCell ref="B7:B8"/>
    <mergeCell ref="C7:C8"/>
    <mergeCell ref="D7:D8"/>
    <mergeCell ref="E7:E8"/>
  </mergeCells>
  <conditionalFormatting sqref="K11:K50">
    <cfRule type="expression" dxfId="5" priority="1">
      <formula>$H11+$J11&lt;&gt;$K11</formula>
    </cfRule>
  </conditionalFormatting>
  <conditionalFormatting sqref="K11:K25 H10:K10">
    <cfRule type="expression" dxfId="4" priority="244">
      <formula>H$10&lt;&gt;SUM(H$11:H$293)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view="pageBreakPreview" topLeftCell="A61" zoomScaleNormal="100" zoomScaleSheetLayoutView="100" workbookViewId="0">
      <selection activeCell="J41" sqref="H40:J41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4.140625" style="4" customWidth="1"/>
    <col min="5" max="5" width="24.140625" style="4" customWidth="1"/>
    <col min="6" max="7" width="10.42578125" style="4" customWidth="1"/>
    <col min="8" max="8" width="11.85546875" style="4" customWidth="1"/>
    <col min="9" max="9" width="15.5703125" style="4" customWidth="1"/>
    <col min="10" max="10" width="10.85546875" style="4" customWidth="1"/>
    <col min="11" max="11" width="15.28515625" style="4" customWidth="1"/>
    <col min="12" max="16384" width="9.140625" style="4"/>
  </cols>
  <sheetData>
    <row r="1" spans="1:11" ht="28.9" customHeight="1" x14ac:dyDescent="0.25">
      <c r="B1" s="5"/>
      <c r="C1" s="180" t="s">
        <v>3280</v>
      </c>
      <c r="D1" s="180"/>
      <c r="E1" s="180"/>
      <c r="F1" s="180"/>
      <c r="G1" s="180"/>
      <c r="H1" s="180"/>
      <c r="I1" s="180"/>
      <c r="J1" s="5"/>
    </row>
    <row r="2" spans="1:1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x14ac:dyDescent="0.25">
      <c r="C3" s="152"/>
      <c r="D3" s="152"/>
      <c r="E3" s="152"/>
      <c r="F3" s="152"/>
      <c r="G3" s="152"/>
      <c r="H3" s="152"/>
      <c r="I3" s="152"/>
      <c r="K3" s="153" t="s">
        <v>3290</v>
      </c>
    </row>
    <row r="4" spans="1:11" x14ac:dyDescent="0.25">
      <c r="C4" s="152"/>
      <c r="D4" s="152"/>
      <c r="E4" s="152"/>
      <c r="F4" s="152"/>
      <c r="G4" s="152"/>
      <c r="H4" s="152"/>
      <c r="I4" s="152"/>
      <c r="K4" s="153" t="s">
        <v>3281</v>
      </c>
    </row>
    <row r="5" spans="1:11" x14ac:dyDescent="0.25">
      <c r="K5" s="153" t="s">
        <v>3291</v>
      </c>
    </row>
    <row r="7" spans="1:11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43"/>
      <c r="I7" s="44" t="s">
        <v>16</v>
      </c>
      <c r="J7" s="60"/>
      <c r="K7" s="171" t="s">
        <v>5</v>
      </c>
    </row>
    <row r="8" spans="1:11" s="5" customFormat="1" ht="60" customHeight="1" thickBot="1" x14ac:dyDescent="0.3">
      <c r="A8" s="184"/>
      <c r="B8" s="184"/>
      <c r="C8" s="184"/>
      <c r="D8" s="184"/>
      <c r="E8" s="184"/>
      <c r="F8" s="184"/>
      <c r="G8" s="179"/>
      <c r="H8" s="25" t="s">
        <v>3</v>
      </c>
      <c r="I8" s="25" t="s">
        <v>24</v>
      </c>
      <c r="J8" s="59" t="s">
        <v>4</v>
      </c>
      <c r="K8" s="172"/>
    </row>
    <row r="9" spans="1:11" s="5" customFormat="1" ht="21.75" customHeight="1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8">
        <v>9</v>
      </c>
      <c r="J9" s="28">
        <v>10</v>
      </c>
      <c r="K9" s="140">
        <v>11</v>
      </c>
    </row>
    <row r="10" spans="1:11" s="5" customFormat="1" ht="29.25" customHeight="1" x14ac:dyDescent="0.25">
      <c r="A10" s="18" t="s">
        <v>2</v>
      </c>
      <c r="B10" s="19"/>
      <c r="C10" s="19"/>
      <c r="D10" s="19"/>
      <c r="E10" s="19"/>
      <c r="F10" s="20"/>
      <c r="G10" s="20"/>
      <c r="H10" s="21">
        <f>SUM(H11:H231)</f>
        <v>36.365000000000009</v>
      </c>
      <c r="I10" s="21">
        <f>SUM(I11:I231)</f>
        <v>29.531000000000006</v>
      </c>
      <c r="J10" s="21">
        <f>SUM(J11:J231)</f>
        <v>70.759999999999991</v>
      </c>
      <c r="K10" s="36">
        <f>SUM(K11:K231)</f>
        <v>107.125</v>
      </c>
    </row>
    <row r="11" spans="1:11" s="5" customFormat="1" ht="29.25" customHeight="1" x14ac:dyDescent="0.25">
      <c r="A11" s="23">
        <v>1</v>
      </c>
      <c r="B11" s="49" t="s">
        <v>2600</v>
      </c>
      <c r="C11" s="15" t="s">
        <v>39</v>
      </c>
      <c r="D11" s="7" t="s">
        <v>3309</v>
      </c>
      <c r="E11" s="14" t="s">
        <v>1078</v>
      </c>
      <c r="F11" s="13" t="s">
        <v>1051</v>
      </c>
      <c r="G11" s="13">
        <v>4</v>
      </c>
      <c r="H11" s="16">
        <v>1.1599999999999999</v>
      </c>
      <c r="I11" s="16">
        <v>1.1599999999999999</v>
      </c>
      <c r="J11" s="16">
        <v>0</v>
      </c>
      <c r="K11" s="36">
        <f>H11+J11</f>
        <v>1.1599999999999999</v>
      </c>
    </row>
    <row r="12" spans="1:11" s="5" customFormat="1" ht="30.6" customHeight="1" x14ac:dyDescent="0.25">
      <c r="A12" s="23">
        <v>2</v>
      </c>
      <c r="B12" s="49" t="s">
        <v>2601</v>
      </c>
      <c r="C12" s="15" t="s">
        <v>39</v>
      </c>
      <c r="D12" s="7" t="s">
        <v>3310</v>
      </c>
      <c r="E12" s="14" t="s">
        <v>1078</v>
      </c>
      <c r="F12" s="13" t="s">
        <v>1051</v>
      </c>
      <c r="G12" s="13">
        <v>4</v>
      </c>
      <c r="H12" s="16">
        <v>0.84</v>
      </c>
      <c r="I12" s="16">
        <v>0.84</v>
      </c>
      <c r="J12" s="16">
        <v>0</v>
      </c>
      <c r="K12" s="36">
        <f t="shared" ref="K12:K76" si="0">H12+J12</f>
        <v>0.84</v>
      </c>
    </row>
    <row r="13" spans="1:11" s="5" customFormat="1" ht="28.15" customHeight="1" x14ac:dyDescent="0.25">
      <c r="A13" s="23">
        <v>3</v>
      </c>
      <c r="B13" s="49" t="s">
        <v>2602</v>
      </c>
      <c r="C13" s="15" t="s">
        <v>39</v>
      </c>
      <c r="D13" s="7" t="s">
        <v>3311</v>
      </c>
      <c r="E13" s="14" t="s">
        <v>1078</v>
      </c>
      <c r="F13" s="13" t="s">
        <v>1051</v>
      </c>
      <c r="G13" s="13">
        <v>4</v>
      </c>
      <c r="H13" s="16">
        <v>0.56000000000000005</v>
      </c>
      <c r="I13" s="16">
        <v>0.56000000000000005</v>
      </c>
      <c r="J13" s="16">
        <v>0</v>
      </c>
      <c r="K13" s="36">
        <f t="shared" si="0"/>
        <v>0.56000000000000005</v>
      </c>
    </row>
    <row r="14" spans="1:11" s="5" customFormat="1" ht="25.9" customHeight="1" x14ac:dyDescent="0.25">
      <c r="A14" s="23">
        <v>4</v>
      </c>
      <c r="B14" s="49" t="s">
        <v>2603</v>
      </c>
      <c r="C14" s="15" t="s">
        <v>39</v>
      </c>
      <c r="D14" s="7" t="s">
        <v>3312</v>
      </c>
      <c r="E14" s="14" t="s">
        <v>1078</v>
      </c>
      <c r="F14" s="13" t="s">
        <v>1114</v>
      </c>
      <c r="G14" s="13">
        <v>6</v>
      </c>
      <c r="H14" s="16">
        <v>1.24</v>
      </c>
      <c r="I14" s="16">
        <v>1.24</v>
      </c>
      <c r="J14" s="16">
        <v>0</v>
      </c>
      <c r="K14" s="36">
        <f t="shared" si="0"/>
        <v>1.24</v>
      </c>
    </row>
    <row r="15" spans="1:11" s="5" customFormat="1" ht="27.6" customHeight="1" x14ac:dyDescent="0.25">
      <c r="A15" s="23">
        <v>5</v>
      </c>
      <c r="B15" s="49" t="s">
        <v>2604</v>
      </c>
      <c r="C15" s="15" t="s">
        <v>39</v>
      </c>
      <c r="D15" s="7" t="s">
        <v>3313</v>
      </c>
      <c r="E15" s="14" t="s">
        <v>1078</v>
      </c>
      <c r="F15" s="13" t="s">
        <v>1051</v>
      </c>
      <c r="G15" s="13">
        <v>3.5</v>
      </c>
      <c r="H15" s="16">
        <v>0.67</v>
      </c>
      <c r="I15" s="16">
        <v>0.67</v>
      </c>
      <c r="J15" s="16">
        <v>0</v>
      </c>
      <c r="K15" s="36">
        <f t="shared" si="0"/>
        <v>0.67</v>
      </c>
    </row>
    <row r="16" spans="1:11" s="5" customFormat="1" ht="34.9" customHeight="1" x14ac:dyDescent="0.25">
      <c r="A16" s="23">
        <v>6</v>
      </c>
      <c r="B16" s="49" t="s">
        <v>2605</v>
      </c>
      <c r="C16" s="15" t="s">
        <v>39</v>
      </c>
      <c r="D16" s="7" t="s">
        <v>3314</v>
      </c>
      <c r="E16" s="14" t="s">
        <v>1078</v>
      </c>
      <c r="F16" s="13" t="s">
        <v>1051</v>
      </c>
      <c r="G16" s="13">
        <v>3.5</v>
      </c>
      <c r="H16" s="16">
        <f>0.081+0.13+0.3+0.275</f>
        <v>0.78600000000000003</v>
      </c>
      <c r="I16" s="16">
        <v>0</v>
      </c>
      <c r="J16" s="16">
        <v>0</v>
      </c>
      <c r="K16" s="36">
        <f t="shared" si="0"/>
        <v>0.78600000000000003</v>
      </c>
    </row>
    <row r="17" spans="1:11" s="5" customFormat="1" ht="33" customHeight="1" x14ac:dyDescent="0.25">
      <c r="A17" s="23">
        <v>7</v>
      </c>
      <c r="B17" s="49" t="s">
        <v>2606</v>
      </c>
      <c r="C17" s="15" t="s">
        <v>39</v>
      </c>
      <c r="D17" s="7" t="s">
        <v>3315</v>
      </c>
      <c r="E17" s="14" t="s">
        <v>1078</v>
      </c>
      <c r="F17" s="13" t="s">
        <v>1051</v>
      </c>
      <c r="G17" s="13">
        <v>3.5</v>
      </c>
      <c r="H17" s="16">
        <v>0</v>
      </c>
      <c r="I17" s="16">
        <v>0</v>
      </c>
      <c r="J17" s="16">
        <f>0.086+0.105</f>
        <v>0.191</v>
      </c>
      <c r="K17" s="36">
        <f t="shared" si="0"/>
        <v>0.191</v>
      </c>
    </row>
    <row r="18" spans="1:11" s="5" customFormat="1" ht="25.9" customHeight="1" x14ac:dyDescent="0.25">
      <c r="A18" s="23">
        <v>8</v>
      </c>
      <c r="B18" s="49" t="s">
        <v>2607</v>
      </c>
      <c r="C18" s="15" t="s">
        <v>39</v>
      </c>
      <c r="D18" s="7" t="s">
        <v>3316</v>
      </c>
      <c r="E18" s="14" t="s">
        <v>1078</v>
      </c>
      <c r="F18" s="13" t="s">
        <v>1051</v>
      </c>
      <c r="G18" s="13">
        <v>3.5</v>
      </c>
      <c r="H18" s="16">
        <v>0</v>
      </c>
      <c r="I18" s="16">
        <v>0</v>
      </c>
      <c r="J18" s="16">
        <f>0.152+0.104+0.144</f>
        <v>0.4</v>
      </c>
      <c r="K18" s="36">
        <f t="shared" si="0"/>
        <v>0.4</v>
      </c>
    </row>
    <row r="19" spans="1:11" s="5" customFormat="1" ht="23.25" customHeight="1" x14ac:dyDescent="0.25">
      <c r="A19" s="23">
        <v>9</v>
      </c>
      <c r="B19" s="49" t="s">
        <v>2608</v>
      </c>
      <c r="C19" s="15" t="s">
        <v>39</v>
      </c>
      <c r="D19" s="7" t="s">
        <v>3317</v>
      </c>
      <c r="E19" s="14" t="s">
        <v>1078</v>
      </c>
      <c r="F19" s="13" t="s">
        <v>1114</v>
      </c>
      <c r="G19" s="13">
        <v>6</v>
      </c>
      <c r="H19" s="16">
        <f>0.878+0.126</f>
        <v>1.004</v>
      </c>
      <c r="I19" s="16">
        <f>0.878+0.126</f>
        <v>1.004</v>
      </c>
      <c r="J19" s="16">
        <v>0</v>
      </c>
      <c r="K19" s="36">
        <f t="shared" si="0"/>
        <v>1.004</v>
      </c>
    </row>
    <row r="20" spans="1:11" s="5" customFormat="1" ht="23.25" customHeight="1" x14ac:dyDescent="0.25">
      <c r="A20" s="23">
        <v>10</v>
      </c>
      <c r="B20" s="49" t="s">
        <v>2609</v>
      </c>
      <c r="C20" s="15" t="s">
        <v>39</v>
      </c>
      <c r="D20" s="7" t="s">
        <v>3318</v>
      </c>
      <c r="E20" s="14" t="s">
        <v>1078</v>
      </c>
      <c r="F20" s="13" t="s">
        <v>1051</v>
      </c>
      <c r="G20" s="13">
        <v>3</v>
      </c>
      <c r="H20" s="16">
        <f>0.7+0.105</f>
        <v>0.80499999999999994</v>
      </c>
      <c r="I20" s="16">
        <v>0.80500000000000005</v>
      </c>
      <c r="J20" s="141">
        <v>0</v>
      </c>
      <c r="K20" s="36">
        <f t="shared" si="0"/>
        <v>0.80499999999999994</v>
      </c>
    </row>
    <row r="21" spans="1:11" s="5" customFormat="1" ht="31.9" customHeight="1" x14ac:dyDescent="0.25">
      <c r="A21" s="23">
        <v>11</v>
      </c>
      <c r="B21" s="49" t="s">
        <v>2610</v>
      </c>
      <c r="C21" s="15" t="s">
        <v>39</v>
      </c>
      <c r="D21" s="7" t="s">
        <v>3319</v>
      </c>
      <c r="E21" s="14" t="s">
        <v>1078</v>
      </c>
      <c r="F21" s="13" t="s">
        <v>1051</v>
      </c>
      <c r="G21" s="13">
        <v>3.5</v>
      </c>
      <c r="H21" s="16">
        <v>0</v>
      </c>
      <c r="I21" s="16">
        <v>0</v>
      </c>
      <c r="J21" s="141">
        <v>0.13300000000000001</v>
      </c>
      <c r="K21" s="36">
        <f t="shared" si="0"/>
        <v>0.13300000000000001</v>
      </c>
    </row>
    <row r="22" spans="1:11" s="5" customFormat="1" ht="23.25" customHeight="1" x14ac:dyDescent="0.25">
      <c r="A22" s="23">
        <v>12</v>
      </c>
      <c r="B22" s="49" t="s">
        <v>2611</v>
      </c>
      <c r="C22" s="15" t="s">
        <v>39</v>
      </c>
      <c r="D22" s="7" t="s">
        <v>3341</v>
      </c>
      <c r="E22" s="14" t="s">
        <v>1078</v>
      </c>
      <c r="F22" s="13" t="s">
        <v>1051</v>
      </c>
      <c r="G22" s="13">
        <v>3.5</v>
      </c>
      <c r="H22" s="16">
        <v>0.623</v>
      </c>
      <c r="I22" s="16">
        <v>0.623</v>
      </c>
      <c r="J22" s="16">
        <v>0</v>
      </c>
      <c r="K22" s="36">
        <f t="shared" si="0"/>
        <v>0.623</v>
      </c>
    </row>
    <row r="23" spans="1:11" s="5" customFormat="1" ht="23.25" customHeight="1" x14ac:dyDescent="0.25">
      <c r="A23" s="23">
        <v>13</v>
      </c>
      <c r="B23" s="49" t="s">
        <v>2612</v>
      </c>
      <c r="C23" s="15" t="s">
        <v>39</v>
      </c>
      <c r="D23" s="7" t="s">
        <v>3320</v>
      </c>
      <c r="E23" s="14" t="s">
        <v>1078</v>
      </c>
      <c r="F23" s="13" t="s">
        <v>1051</v>
      </c>
      <c r="G23" s="13">
        <v>3.5</v>
      </c>
      <c r="H23" s="16">
        <f>2.039+0.307</f>
        <v>2.3460000000000001</v>
      </c>
      <c r="I23" s="16">
        <f>0.836+0.665+0.138+0.4</f>
        <v>2.0389999999999997</v>
      </c>
      <c r="J23" s="16">
        <f>0.12+0.23</f>
        <v>0.35</v>
      </c>
      <c r="K23" s="36">
        <f t="shared" si="0"/>
        <v>2.6960000000000002</v>
      </c>
    </row>
    <row r="24" spans="1:11" s="5" customFormat="1" ht="36" customHeight="1" x14ac:dyDescent="0.25">
      <c r="A24" s="23">
        <v>14</v>
      </c>
      <c r="B24" s="49" t="s">
        <v>2613</v>
      </c>
      <c r="C24" s="15" t="s">
        <v>38</v>
      </c>
      <c r="D24" s="7" t="s">
        <v>1079</v>
      </c>
      <c r="E24" s="14" t="s">
        <v>1078</v>
      </c>
      <c r="F24" s="13" t="s">
        <v>1051</v>
      </c>
      <c r="G24" s="13">
        <v>3.5</v>
      </c>
      <c r="H24" s="16">
        <v>0.23400000000000001</v>
      </c>
      <c r="I24" s="16">
        <v>0.23400000000000001</v>
      </c>
      <c r="J24" s="16">
        <v>0</v>
      </c>
      <c r="K24" s="36">
        <f t="shared" si="0"/>
        <v>0.23400000000000001</v>
      </c>
    </row>
    <row r="25" spans="1:11" s="5" customFormat="1" ht="36.75" customHeight="1" x14ac:dyDescent="0.25">
      <c r="A25" s="23">
        <v>15</v>
      </c>
      <c r="B25" s="49" t="s">
        <v>2614</v>
      </c>
      <c r="C25" s="15" t="s">
        <v>38</v>
      </c>
      <c r="D25" s="7" t="s">
        <v>3321</v>
      </c>
      <c r="E25" s="14" t="s">
        <v>1078</v>
      </c>
      <c r="F25" s="13" t="s">
        <v>1051</v>
      </c>
      <c r="G25" s="13">
        <v>3.5</v>
      </c>
      <c r="H25" s="16">
        <v>0.43</v>
      </c>
      <c r="I25" s="16">
        <v>0</v>
      </c>
      <c r="J25" s="16">
        <v>0</v>
      </c>
      <c r="K25" s="36">
        <f t="shared" si="0"/>
        <v>0.43</v>
      </c>
    </row>
    <row r="26" spans="1:11" s="5" customFormat="1" ht="27.75" customHeight="1" x14ac:dyDescent="0.25">
      <c r="A26" s="23">
        <v>16</v>
      </c>
      <c r="B26" s="49" t="s">
        <v>2615</v>
      </c>
      <c r="C26" s="15" t="s">
        <v>39</v>
      </c>
      <c r="D26" s="7" t="s">
        <v>3322</v>
      </c>
      <c r="E26" s="14" t="s">
        <v>1078</v>
      </c>
      <c r="F26" s="13" t="s">
        <v>1051</v>
      </c>
      <c r="G26" s="13">
        <v>3.5</v>
      </c>
      <c r="H26" s="16">
        <v>0.8</v>
      </c>
      <c r="I26" s="16">
        <v>0</v>
      </c>
      <c r="J26" s="16">
        <v>0</v>
      </c>
      <c r="K26" s="36">
        <f t="shared" si="0"/>
        <v>0.8</v>
      </c>
    </row>
    <row r="27" spans="1:11" s="5" customFormat="1" ht="23.25" customHeight="1" x14ac:dyDescent="0.25">
      <c r="A27" s="23">
        <v>17</v>
      </c>
      <c r="B27" s="49" t="s">
        <v>2616</v>
      </c>
      <c r="C27" s="15" t="s">
        <v>39</v>
      </c>
      <c r="D27" s="7" t="s">
        <v>3323</v>
      </c>
      <c r="E27" s="14" t="s">
        <v>1078</v>
      </c>
      <c r="F27" s="13" t="s">
        <v>1051</v>
      </c>
      <c r="G27" s="13">
        <v>3.5</v>
      </c>
      <c r="H27" s="16">
        <v>0</v>
      </c>
      <c r="I27" s="16">
        <v>0</v>
      </c>
      <c r="J27" s="16">
        <v>0.46</v>
      </c>
      <c r="K27" s="36">
        <f t="shared" si="0"/>
        <v>0.46</v>
      </c>
    </row>
    <row r="28" spans="1:11" s="5" customFormat="1" ht="31.5" customHeight="1" x14ac:dyDescent="0.25">
      <c r="A28" s="23">
        <v>18</v>
      </c>
      <c r="B28" s="49" t="s">
        <v>2617</v>
      </c>
      <c r="C28" s="15" t="s">
        <v>39</v>
      </c>
      <c r="D28" s="7" t="s">
        <v>3324</v>
      </c>
      <c r="E28" s="14" t="s">
        <v>1078</v>
      </c>
      <c r="F28" s="13" t="s">
        <v>1051</v>
      </c>
      <c r="G28" s="13">
        <v>3.5</v>
      </c>
      <c r="H28" s="16">
        <v>0.70399999999999996</v>
      </c>
      <c r="I28" s="16">
        <v>0</v>
      </c>
      <c r="J28" s="16">
        <v>0.11</v>
      </c>
      <c r="K28" s="36">
        <f t="shared" si="0"/>
        <v>0.81399999999999995</v>
      </c>
    </row>
    <row r="29" spans="1:11" s="5" customFormat="1" ht="27.6" customHeight="1" x14ac:dyDescent="0.25">
      <c r="A29" s="23">
        <v>19</v>
      </c>
      <c r="B29" s="49" t="s">
        <v>2618</v>
      </c>
      <c r="C29" s="15" t="s">
        <v>39</v>
      </c>
      <c r="D29" s="7" t="s">
        <v>3325</v>
      </c>
      <c r="E29" s="14" t="s">
        <v>1078</v>
      </c>
      <c r="F29" s="13" t="s">
        <v>1051</v>
      </c>
      <c r="G29" s="13">
        <v>3.5</v>
      </c>
      <c r="H29" s="16">
        <f>0.646+0.61</f>
        <v>1.256</v>
      </c>
      <c r="I29" s="16">
        <v>0</v>
      </c>
      <c r="J29" s="16">
        <v>0</v>
      </c>
      <c r="K29" s="36">
        <f t="shared" si="0"/>
        <v>1.256</v>
      </c>
    </row>
    <row r="30" spans="1:11" s="5" customFormat="1" ht="29.45" customHeight="1" x14ac:dyDescent="0.25">
      <c r="A30" s="23">
        <v>20</v>
      </c>
      <c r="B30" s="49" t="s">
        <v>2619</v>
      </c>
      <c r="C30" s="15" t="s">
        <v>39</v>
      </c>
      <c r="D30" s="7" t="s">
        <v>3326</v>
      </c>
      <c r="E30" s="14" t="s">
        <v>1078</v>
      </c>
      <c r="F30" s="13" t="s">
        <v>1114</v>
      </c>
      <c r="G30" s="13">
        <v>6</v>
      </c>
      <c r="H30" s="16">
        <f>0.89+0.4</f>
        <v>1.29</v>
      </c>
      <c r="I30" s="16">
        <v>0.89</v>
      </c>
      <c r="J30" s="16">
        <v>0</v>
      </c>
      <c r="K30" s="36">
        <f t="shared" si="0"/>
        <v>1.29</v>
      </c>
    </row>
    <row r="31" spans="1:11" s="5" customFormat="1" ht="28.15" customHeight="1" x14ac:dyDescent="0.25">
      <c r="A31" s="23">
        <v>21</v>
      </c>
      <c r="B31" s="49" t="s">
        <v>2620</v>
      </c>
      <c r="C31" s="15" t="s">
        <v>39</v>
      </c>
      <c r="D31" s="7" t="s">
        <v>3327</v>
      </c>
      <c r="E31" s="14" t="s">
        <v>1078</v>
      </c>
      <c r="F31" s="13" t="s">
        <v>1114</v>
      </c>
      <c r="G31" s="13">
        <v>6</v>
      </c>
      <c r="H31" s="16">
        <v>0.72399999999999998</v>
      </c>
      <c r="I31" s="16">
        <v>0.3</v>
      </c>
      <c r="J31" s="16">
        <v>0</v>
      </c>
      <c r="K31" s="36">
        <f t="shared" si="0"/>
        <v>0.72399999999999998</v>
      </c>
    </row>
    <row r="32" spans="1:11" s="5" customFormat="1" ht="28.15" customHeight="1" x14ac:dyDescent="0.25">
      <c r="A32" s="23">
        <v>22</v>
      </c>
      <c r="B32" s="49" t="s">
        <v>2621</v>
      </c>
      <c r="C32" s="15" t="s">
        <v>39</v>
      </c>
      <c r="D32" s="7" t="s">
        <v>3328</v>
      </c>
      <c r="E32" s="14" t="s">
        <v>1078</v>
      </c>
      <c r="F32" s="13" t="s">
        <v>1114</v>
      </c>
      <c r="G32" s="13">
        <v>6</v>
      </c>
      <c r="H32" s="16">
        <v>1.2350000000000001</v>
      </c>
      <c r="I32" s="16">
        <v>1.2350000000000001</v>
      </c>
      <c r="J32" s="16">
        <f>0.09+0.22+0.076+0.211</f>
        <v>0.59699999999999998</v>
      </c>
      <c r="K32" s="36">
        <f t="shared" si="0"/>
        <v>1.8320000000000001</v>
      </c>
    </row>
    <row r="33" spans="1:11" s="5" customFormat="1" ht="33.6" customHeight="1" x14ac:dyDescent="0.25">
      <c r="A33" s="23">
        <v>23</v>
      </c>
      <c r="B33" s="49" t="s">
        <v>2622</v>
      </c>
      <c r="C33" s="15" t="s">
        <v>39</v>
      </c>
      <c r="D33" s="7" t="s">
        <v>3329</v>
      </c>
      <c r="E33" s="14" t="s">
        <v>1078</v>
      </c>
      <c r="F33" s="13" t="s">
        <v>1051</v>
      </c>
      <c r="G33" s="13">
        <v>3.5</v>
      </c>
      <c r="H33" s="16">
        <v>0.72299999999999998</v>
      </c>
      <c r="I33" s="16">
        <v>0.72299999999999998</v>
      </c>
      <c r="J33" s="16">
        <v>0</v>
      </c>
      <c r="K33" s="36">
        <f t="shared" si="0"/>
        <v>0.72299999999999998</v>
      </c>
    </row>
    <row r="34" spans="1:11" s="5" customFormat="1" ht="27" customHeight="1" x14ac:dyDescent="0.25">
      <c r="A34" s="23">
        <v>24</v>
      </c>
      <c r="B34" s="49" t="s">
        <v>2623</v>
      </c>
      <c r="C34" s="15" t="s">
        <v>39</v>
      </c>
      <c r="D34" s="7" t="s">
        <v>3336</v>
      </c>
      <c r="E34" s="14" t="s">
        <v>1078</v>
      </c>
      <c r="F34" s="13" t="s">
        <v>1051</v>
      </c>
      <c r="G34" s="13">
        <v>3.5</v>
      </c>
      <c r="H34" s="141">
        <f>0.105+0.472+0.107+0.141+0.077</f>
        <v>0.90199999999999991</v>
      </c>
      <c r="I34" s="16">
        <f>0.105+0.472+0.107+0.141+0.077</f>
        <v>0.90199999999999991</v>
      </c>
      <c r="J34" s="141">
        <v>5.2999999999999999E-2</v>
      </c>
      <c r="K34" s="36">
        <f t="shared" si="0"/>
        <v>0.95499999999999996</v>
      </c>
    </row>
    <row r="35" spans="1:11" s="5" customFormat="1" ht="27" customHeight="1" x14ac:dyDescent="0.25">
      <c r="A35" s="23">
        <v>25</v>
      </c>
      <c r="B35" s="49" t="s">
        <v>2624</v>
      </c>
      <c r="C35" s="15" t="s">
        <v>39</v>
      </c>
      <c r="D35" s="7" t="s">
        <v>3335</v>
      </c>
      <c r="E35" s="14" t="s">
        <v>1078</v>
      </c>
      <c r="F35" s="13" t="s">
        <v>1051</v>
      </c>
      <c r="G35" s="13">
        <v>3.5</v>
      </c>
      <c r="H35" s="16">
        <v>0.45400000000000001</v>
      </c>
      <c r="I35" s="16">
        <v>0.45400000000000001</v>
      </c>
      <c r="J35" s="16">
        <v>0</v>
      </c>
      <c r="K35" s="36">
        <f t="shared" si="0"/>
        <v>0.45400000000000001</v>
      </c>
    </row>
    <row r="36" spans="1:11" s="5" customFormat="1" ht="31.9" customHeight="1" x14ac:dyDescent="0.25">
      <c r="A36" s="23">
        <v>26</v>
      </c>
      <c r="B36" s="49" t="s">
        <v>2625</v>
      </c>
      <c r="C36" s="15" t="s">
        <v>39</v>
      </c>
      <c r="D36" s="7" t="s">
        <v>3334</v>
      </c>
      <c r="E36" s="14" t="s">
        <v>1078</v>
      </c>
      <c r="F36" s="13" t="s">
        <v>1051</v>
      </c>
      <c r="G36" s="13">
        <v>4.5</v>
      </c>
      <c r="H36" s="16">
        <v>0.61</v>
      </c>
      <c r="I36" s="16">
        <v>0.61</v>
      </c>
      <c r="J36" s="16">
        <v>0</v>
      </c>
      <c r="K36" s="36">
        <f t="shared" si="0"/>
        <v>0.61</v>
      </c>
    </row>
    <row r="37" spans="1:11" s="5" customFormat="1" ht="28.9" customHeight="1" x14ac:dyDescent="0.25">
      <c r="A37" s="23">
        <v>27</v>
      </c>
      <c r="B37" s="49" t="s">
        <v>2626</v>
      </c>
      <c r="C37" s="15" t="s">
        <v>39</v>
      </c>
      <c r="D37" s="7" t="s">
        <v>3333</v>
      </c>
      <c r="E37" s="14" t="s">
        <v>1078</v>
      </c>
      <c r="F37" s="13" t="s">
        <v>1051</v>
      </c>
      <c r="G37" s="13">
        <v>3.5</v>
      </c>
      <c r="H37" s="16">
        <v>0.42</v>
      </c>
      <c r="I37" s="16">
        <v>0.42</v>
      </c>
      <c r="J37" s="16">
        <v>0</v>
      </c>
      <c r="K37" s="36">
        <f t="shared" si="0"/>
        <v>0.42</v>
      </c>
    </row>
    <row r="38" spans="1:11" s="5" customFormat="1" ht="33.75" customHeight="1" x14ac:dyDescent="0.25">
      <c r="A38" s="23">
        <v>28</v>
      </c>
      <c r="B38" s="49" t="s">
        <v>2627</v>
      </c>
      <c r="C38" s="15" t="s">
        <v>39</v>
      </c>
      <c r="D38" s="7" t="s">
        <v>3332</v>
      </c>
      <c r="E38" s="14" t="s">
        <v>1078</v>
      </c>
      <c r="F38" s="13" t="s">
        <v>1051</v>
      </c>
      <c r="G38" s="13">
        <v>3.5</v>
      </c>
      <c r="H38" s="16">
        <f>0.255+0.407</f>
        <v>0.66199999999999992</v>
      </c>
      <c r="I38" s="16">
        <f>0.255+0.407</f>
        <v>0.66199999999999992</v>
      </c>
      <c r="J38" s="16">
        <v>0</v>
      </c>
      <c r="K38" s="36">
        <f t="shared" si="0"/>
        <v>0.66199999999999992</v>
      </c>
    </row>
    <row r="39" spans="1:11" s="5" customFormat="1" ht="30.6" customHeight="1" x14ac:dyDescent="0.25">
      <c r="A39" s="23">
        <v>29</v>
      </c>
      <c r="B39" s="49" t="s">
        <v>2628</v>
      </c>
      <c r="C39" s="15" t="s">
        <v>39</v>
      </c>
      <c r="D39" s="7" t="s">
        <v>3331</v>
      </c>
      <c r="E39" s="14" t="s">
        <v>1078</v>
      </c>
      <c r="F39" s="13" t="s">
        <v>1051</v>
      </c>
      <c r="G39" s="13">
        <v>4</v>
      </c>
      <c r="H39" s="16">
        <v>0.3</v>
      </c>
      <c r="I39" s="16">
        <v>0.3</v>
      </c>
      <c r="J39" s="16">
        <v>0.1</v>
      </c>
      <c r="K39" s="36">
        <f t="shared" si="0"/>
        <v>0.4</v>
      </c>
    </row>
    <row r="40" spans="1:11" s="5" customFormat="1" ht="34.15" customHeight="1" x14ac:dyDescent="0.25">
      <c r="A40" s="23">
        <v>30</v>
      </c>
      <c r="B40" s="49" t="s">
        <v>2629</v>
      </c>
      <c r="C40" s="15" t="s">
        <v>39</v>
      </c>
      <c r="D40" s="7" t="s">
        <v>3330</v>
      </c>
      <c r="E40" s="14" t="s">
        <v>1078</v>
      </c>
      <c r="F40" s="13" t="s">
        <v>1051</v>
      </c>
      <c r="G40" s="13">
        <v>3.5</v>
      </c>
      <c r="H40" s="16">
        <v>0.44</v>
      </c>
      <c r="I40" s="16">
        <v>0</v>
      </c>
      <c r="J40" s="16">
        <v>0</v>
      </c>
      <c r="K40" s="36">
        <f t="shared" si="0"/>
        <v>0.44</v>
      </c>
    </row>
    <row r="41" spans="1:11" s="5" customFormat="1" ht="31.9" customHeight="1" x14ac:dyDescent="0.25">
      <c r="A41" s="23">
        <v>31</v>
      </c>
      <c r="B41" s="49" t="s">
        <v>2630</v>
      </c>
      <c r="C41" s="15" t="s">
        <v>39</v>
      </c>
      <c r="D41" s="7" t="s">
        <v>1080</v>
      </c>
      <c r="E41" s="14" t="s">
        <v>1078</v>
      </c>
      <c r="F41" s="13" t="s">
        <v>1051</v>
      </c>
      <c r="G41" s="13">
        <v>4</v>
      </c>
      <c r="H41" s="16">
        <v>2.431</v>
      </c>
      <c r="I41" s="16">
        <v>2.0670000000000002</v>
      </c>
      <c r="J41" s="16">
        <v>0.224</v>
      </c>
      <c r="K41" s="36">
        <f t="shared" si="0"/>
        <v>2.6550000000000002</v>
      </c>
    </row>
    <row r="42" spans="1:11" s="5" customFormat="1" ht="31.9" customHeight="1" x14ac:dyDescent="0.25">
      <c r="A42" s="23">
        <v>32</v>
      </c>
      <c r="B42" s="49" t="s">
        <v>2631</v>
      </c>
      <c r="C42" s="15" t="s">
        <v>39</v>
      </c>
      <c r="D42" s="7" t="s">
        <v>1081</v>
      </c>
      <c r="E42" s="14" t="s">
        <v>1078</v>
      </c>
      <c r="F42" s="13" t="s">
        <v>1051</v>
      </c>
      <c r="G42" s="13">
        <v>3.5</v>
      </c>
      <c r="H42" s="16">
        <v>0.41299999999999998</v>
      </c>
      <c r="I42" s="16">
        <v>0</v>
      </c>
      <c r="J42" s="16">
        <v>0</v>
      </c>
      <c r="K42" s="36">
        <f t="shared" si="0"/>
        <v>0.41299999999999998</v>
      </c>
    </row>
    <row r="43" spans="1:11" s="5" customFormat="1" ht="39.75" customHeight="1" x14ac:dyDescent="0.25">
      <c r="A43" s="23">
        <v>33</v>
      </c>
      <c r="B43" s="49" t="s">
        <v>2632</v>
      </c>
      <c r="C43" s="15" t="s">
        <v>39</v>
      </c>
      <c r="D43" s="7" t="s">
        <v>1082</v>
      </c>
      <c r="E43" s="14" t="s">
        <v>1078</v>
      </c>
      <c r="F43" s="13" t="s">
        <v>1051</v>
      </c>
      <c r="G43" s="13">
        <v>3.5</v>
      </c>
      <c r="H43" s="16">
        <v>0.372</v>
      </c>
      <c r="I43" s="16">
        <v>0.372</v>
      </c>
      <c r="J43" s="16">
        <v>0</v>
      </c>
      <c r="K43" s="36">
        <f t="shared" si="0"/>
        <v>0.372</v>
      </c>
    </row>
    <row r="44" spans="1:11" s="5" customFormat="1" ht="22.9" customHeight="1" x14ac:dyDescent="0.25">
      <c r="A44" s="23">
        <v>34</v>
      </c>
      <c r="B44" s="49" t="s">
        <v>2633</v>
      </c>
      <c r="C44" s="15" t="s">
        <v>39</v>
      </c>
      <c r="D44" s="7" t="s">
        <v>1083</v>
      </c>
      <c r="E44" s="14" t="s">
        <v>1078</v>
      </c>
      <c r="F44" s="13" t="s">
        <v>1051</v>
      </c>
      <c r="G44" s="13">
        <v>3</v>
      </c>
      <c r="H44" s="16">
        <v>0.26900000000000002</v>
      </c>
      <c r="I44" s="16">
        <v>0.26900000000000002</v>
      </c>
      <c r="J44" s="16">
        <v>0.16800000000000001</v>
      </c>
      <c r="K44" s="36">
        <f t="shared" si="0"/>
        <v>0.43700000000000006</v>
      </c>
    </row>
    <row r="45" spans="1:11" s="5" customFormat="1" ht="23.25" customHeight="1" x14ac:dyDescent="0.25">
      <c r="A45" s="23">
        <v>35</v>
      </c>
      <c r="B45" s="49" t="s">
        <v>2634</v>
      </c>
      <c r="C45" s="15" t="s">
        <v>39</v>
      </c>
      <c r="D45" s="7" t="s">
        <v>1084</v>
      </c>
      <c r="E45" s="14" t="s">
        <v>1078</v>
      </c>
      <c r="F45" s="13" t="s">
        <v>1051</v>
      </c>
      <c r="G45" s="13">
        <v>3</v>
      </c>
      <c r="H45" s="16">
        <v>0.66900000000000004</v>
      </c>
      <c r="I45" s="16">
        <v>0.66900000000000004</v>
      </c>
      <c r="J45" s="16">
        <v>0</v>
      </c>
      <c r="K45" s="36">
        <f t="shared" si="0"/>
        <v>0.66900000000000004</v>
      </c>
    </row>
    <row r="46" spans="1:11" s="5" customFormat="1" ht="23.25" customHeight="1" x14ac:dyDescent="0.25">
      <c r="A46" s="23">
        <v>36</v>
      </c>
      <c r="B46" s="49" t="s">
        <v>2635</v>
      </c>
      <c r="C46" s="15" t="s">
        <v>39</v>
      </c>
      <c r="D46" s="7" t="s">
        <v>1085</v>
      </c>
      <c r="E46" s="14" t="s">
        <v>1078</v>
      </c>
      <c r="F46" s="13" t="s">
        <v>1051</v>
      </c>
      <c r="G46" s="13">
        <v>3.5</v>
      </c>
      <c r="H46" s="16">
        <v>1.143</v>
      </c>
      <c r="I46" s="16">
        <v>1.143</v>
      </c>
      <c r="J46" s="16">
        <v>0</v>
      </c>
      <c r="K46" s="36">
        <f t="shared" si="0"/>
        <v>1.143</v>
      </c>
    </row>
    <row r="47" spans="1:11" s="5" customFormat="1" ht="35.25" customHeight="1" x14ac:dyDescent="0.25">
      <c r="A47" s="23">
        <v>37</v>
      </c>
      <c r="B47" s="49" t="s">
        <v>2636</v>
      </c>
      <c r="C47" s="17" t="s">
        <v>38</v>
      </c>
      <c r="D47" s="7" t="s">
        <v>1086</v>
      </c>
      <c r="E47" s="14" t="s">
        <v>1078</v>
      </c>
      <c r="F47" s="13" t="s">
        <v>1051</v>
      </c>
      <c r="G47" s="13">
        <v>4</v>
      </c>
      <c r="H47" s="16">
        <v>0.33200000000000002</v>
      </c>
      <c r="I47" s="16">
        <v>0.33200000000000002</v>
      </c>
      <c r="J47" s="16">
        <v>0.39</v>
      </c>
      <c r="K47" s="36">
        <f t="shared" si="0"/>
        <v>0.72199999999999998</v>
      </c>
    </row>
    <row r="48" spans="1:11" s="5" customFormat="1" ht="24.75" customHeight="1" x14ac:dyDescent="0.25">
      <c r="A48" s="23">
        <v>38</v>
      </c>
      <c r="B48" s="49" t="s">
        <v>2637</v>
      </c>
      <c r="C48" s="17" t="s">
        <v>38</v>
      </c>
      <c r="D48" s="7" t="s">
        <v>1087</v>
      </c>
      <c r="E48" s="14" t="s">
        <v>1078</v>
      </c>
      <c r="F48" s="13" t="s">
        <v>1051</v>
      </c>
      <c r="G48" s="13">
        <v>3.5</v>
      </c>
      <c r="H48" s="16">
        <v>0</v>
      </c>
      <c r="I48" s="16">
        <v>0</v>
      </c>
      <c r="J48" s="16">
        <v>0.28199999999999997</v>
      </c>
      <c r="K48" s="36">
        <f t="shared" si="0"/>
        <v>0.28199999999999997</v>
      </c>
    </row>
    <row r="49" spans="1:11" s="5" customFormat="1" ht="36.6" customHeight="1" x14ac:dyDescent="0.25">
      <c r="A49" s="23">
        <v>39</v>
      </c>
      <c r="B49" s="49" t="s">
        <v>2638</v>
      </c>
      <c r="C49" s="15" t="s">
        <v>39</v>
      </c>
      <c r="D49" s="7" t="s">
        <v>1088</v>
      </c>
      <c r="E49" s="14" t="s">
        <v>1078</v>
      </c>
      <c r="F49" s="13" t="s">
        <v>1051</v>
      </c>
      <c r="G49" s="13">
        <v>3.5</v>
      </c>
      <c r="H49" s="16">
        <f>0.426+0.1</f>
        <v>0.52600000000000002</v>
      </c>
      <c r="I49" s="16">
        <f>0.426+0.1</f>
        <v>0.52600000000000002</v>
      </c>
      <c r="J49" s="16">
        <v>0</v>
      </c>
      <c r="K49" s="36">
        <f t="shared" si="0"/>
        <v>0.52600000000000002</v>
      </c>
    </row>
    <row r="50" spans="1:11" s="5" customFormat="1" ht="26.45" customHeight="1" x14ac:dyDescent="0.25">
      <c r="A50" s="23">
        <v>40</v>
      </c>
      <c r="B50" s="49" t="s">
        <v>2639</v>
      </c>
      <c r="C50" s="15" t="s">
        <v>39</v>
      </c>
      <c r="D50" s="7" t="s">
        <v>1089</v>
      </c>
      <c r="E50" s="14" t="s">
        <v>1078</v>
      </c>
      <c r="F50" s="13" t="s">
        <v>1051</v>
      </c>
      <c r="G50" s="13">
        <v>3.5</v>
      </c>
      <c r="H50" s="16">
        <v>0.74199999999999999</v>
      </c>
      <c r="I50" s="16">
        <v>0.74199999999999999</v>
      </c>
      <c r="J50" s="16">
        <v>0</v>
      </c>
      <c r="K50" s="36">
        <f t="shared" si="0"/>
        <v>0.74199999999999999</v>
      </c>
    </row>
    <row r="51" spans="1:11" s="5" customFormat="1" ht="34.15" customHeight="1" x14ac:dyDescent="0.25">
      <c r="A51" s="23">
        <v>41</v>
      </c>
      <c r="B51" s="49" t="s">
        <v>2640</v>
      </c>
      <c r="C51" s="15" t="s">
        <v>39</v>
      </c>
      <c r="D51" s="7" t="s">
        <v>1090</v>
      </c>
      <c r="E51" s="14" t="s">
        <v>1078</v>
      </c>
      <c r="F51" s="13" t="s">
        <v>1051</v>
      </c>
      <c r="G51" s="13">
        <v>4</v>
      </c>
      <c r="H51" s="16">
        <v>0.41</v>
      </c>
      <c r="I51" s="16">
        <v>0.41</v>
      </c>
      <c r="J51" s="16">
        <v>0</v>
      </c>
      <c r="K51" s="36">
        <f t="shared" si="0"/>
        <v>0.41</v>
      </c>
    </row>
    <row r="52" spans="1:11" s="5" customFormat="1" ht="28.9" customHeight="1" x14ac:dyDescent="0.25">
      <c r="A52" s="23">
        <v>42</v>
      </c>
      <c r="B52" s="49" t="s">
        <v>2641</v>
      </c>
      <c r="C52" s="15" t="s">
        <v>39</v>
      </c>
      <c r="D52" s="7" t="s">
        <v>1091</v>
      </c>
      <c r="E52" s="14" t="s">
        <v>1078</v>
      </c>
      <c r="F52" s="13" t="s">
        <v>1051</v>
      </c>
      <c r="G52" s="13">
        <v>4</v>
      </c>
      <c r="H52" s="16">
        <v>0.31</v>
      </c>
      <c r="I52" s="16">
        <v>0</v>
      </c>
      <c r="J52" s="16">
        <v>0</v>
      </c>
      <c r="K52" s="36">
        <f t="shared" si="0"/>
        <v>0.31</v>
      </c>
    </row>
    <row r="53" spans="1:11" s="5" customFormat="1" ht="31.9" customHeight="1" x14ac:dyDescent="0.25">
      <c r="A53" s="23">
        <v>43</v>
      </c>
      <c r="B53" s="49" t="s">
        <v>2642</v>
      </c>
      <c r="C53" s="17" t="s">
        <v>38</v>
      </c>
      <c r="D53" s="7" t="s">
        <v>1628</v>
      </c>
      <c r="E53" s="14" t="s">
        <v>1078</v>
      </c>
      <c r="F53" s="13" t="s">
        <v>1051</v>
      </c>
      <c r="G53" s="13">
        <v>4</v>
      </c>
      <c r="H53" s="16">
        <v>0.59</v>
      </c>
      <c r="I53" s="16">
        <v>0.59</v>
      </c>
      <c r="J53" s="16">
        <v>0.28599999999999998</v>
      </c>
      <c r="K53" s="36">
        <f t="shared" si="0"/>
        <v>0.87599999999999989</v>
      </c>
    </row>
    <row r="54" spans="1:11" s="5" customFormat="1" ht="27.6" customHeight="1" x14ac:dyDescent="0.25">
      <c r="A54" s="23">
        <v>44</v>
      </c>
      <c r="B54" s="49" t="s">
        <v>2643</v>
      </c>
      <c r="C54" s="15" t="s">
        <v>39</v>
      </c>
      <c r="D54" s="7" t="s">
        <v>1092</v>
      </c>
      <c r="E54" s="14" t="s">
        <v>1078</v>
      </c>
      <c r="F54" s="13" t="s">
        <v>1051</v>
      </c>
      <c r="G54" s="13">
        <v>4</v>
      </c>
      <c r="H54" s="16">
        <v>0.96</v>
      </c>
      <c r="I54" s="16">
        <v>0.96</v>
      </c>
      <c r="J54" s="16">
        <v>0</v>
      </c>
      <c r="K54" s="36">
        <f t="shared" si="0"/>
        <v>0.96</v>
      </c>
    </row>
    <row r="55" spans="1:11" s="5" customFormat="1" ht="25.15" customHeight="1" x14ac:dyDescent="0.25">
      <c r="A55" s="23">
        <v>45</v>
      </c>
      <c r="B55" s="49" t="s">
        <v>2644</v>
      </c>
      <c r="C55" s="15" t="s">
        <v>39</v>
      </c>
      <c r="D55" s="7" t="s">
        <v>1093</v>
      </c>
      <c r="E55" s="14" t="s">
        <v>1078</v>
      </c>
      <c r="F55" s="13" t="s">
        <v>1051</v>
      </c>
      <c r="G55" s="13">
        <v>3.5</v>
      </c>
      <c r="H55" s="16">
        <f>0.746+0.106+0.14</f>
        <v>0.99199999999999999</v>
      </c>
      <c r="I55" s="16">
        <f>0.746+0.106+0.14</f>
        <v>0.99199999999999999</v>
      </c>
      <c r="J55" s="16">
        <v>0</v>
      </c>
      <c r="K55" s="36">
        <f t="shared" si="0"/>
        <v>0.99199999999999999</v>
      </c>
    </row>
    <row r="56" spans="1:11" s="5" customFormat="1" ht="27" customHeight="1" x14ac:dyDescent="0.25">
      <c r="A56" s="23">
        <v>46</v>
      </c>
      <c r="B56" s="49" t="s">
        <v>2645</v>
      </c>
      <c r="C56" s="15" t="s">
        <v>976</v>
      </c>
      <c r="D56" s="7" t="s">
        <v>1094</v>
      </c>
      <c r="E56" s="14" t="s">
        <v>1078</v>
      </c>
      <c r="F56" s="13" t="s">
        <v>1051</v>
      </c>
      <c r="G56" s="13">
        <v>3.5</v>
      </c>
      <c r="H56" s="16">
        <v>0</v>
      </c>
      <c r="I56" s="16">
        <v>0</v>
      </c>
      <c r="J56" s="16">
        <v>0.27</v>
      </c>
      <c r="K56" s="36">
        <f t="shared" si="0"/>
        <v>0.27</v>
      </c>
    </row>
    <row r="57" spans="1:11" s="5" customFormat="1" ht="24.6" customHeight="1" x14ac:dyDescent="0.25">
      <c r="A57" s="23">
        <v>47</v>
      </c>
      <c r="B57" s="49" t="s">
        <v>2646</v>
      </c>
      <c r="C57" s="15" t="s">
        <v>39</v>
      </c>
      <c r="D57" s="7" t="s">
        <v>1095</v>
      </c>
      <c r="E57" s="14" t="s">
        <v>1078</v>
      </c>
      <c r="F57" s="13" t="s">
        <v>1051</v>
      </c>
      <c r="G57" s="13">
        <v>3.5</v>
      </c>
      <c r="H57" s="16">
        <v>1.6</v>
      </c>
      <c r="I57" s="16">
        <v>1.6</v>
      </c>
      <c r="J57" s="16">
        <v>0</v>
      </c>
      <c r="K57" s="36">
        <f t="shared" si="0"/>
        <v>1.6</v>
      </c>
    </row>
    <row r="58" spans="1:11" s="5" customFormat="1" ht="25.15" customHeight="1" x14ac:dyDescent="0.25">
      <c r="A58" s="23">
        <v>48</v>
      </c>
      <c r="B58" s="49" t="s">
        <v>2647</v>
      </c>
      <c r="C58" s="15" t="s">
        <v>39</v>
      </c>
      <c r="D58" s="7" t="s">
        <v>1096</v>
      </c>
      <c r="E58" s="14" t="s">
        <v>1078</v>
      </c>
      <c r="F58" s="13" t="s">
        <v>1051</v>
      </c>
      <c r="G58" s="13">
        <v>4</v>
      </c>
      <c r="H58" s="16">
        <v>0.57299999999999995</v>
      </c>
      <c r="I58" s="16">
        <v>0.57299999999999995</v>
      </c>
      <c r="J58" s="16">
        <v>0</v>
      </c>
      <c r="K58" s="36">
        <f t="shared" si="0"/>
        <v>0.57299999999999995</v>
      </c>
    </row>
    <row r="59" spans="1:11" s="5" customFormat="1" ht="25.9" customHeight="1" x14ac:dyDescent="0.25">
      <c r="A59" s="23">
        <v>49</v>
      </c>
      <c r="B59" s="49" t="s">
        <v>2648</v>
      </c>
      <c r="C59" s="15" t="s">
        <v>39</v>
      </c>
      <c r="D59" s="7" t="s">
        <v>1097</v>
      </c>
      <c r="E59" s="14" t="s">
        <v>1078</v>
      </c>
      <c r="F59" s="13" t="s">
        <v>1051</v>
      </c>
      <c r="G59" s="13">
        <v>3.5</v>
      </c>
      <c r="H59" s="16">
        <v>0.44</v>
      </c>
      <c r="I59" s="16">
        <v>0.44</v>
      </c>
      <c r="J59" s="16">
        <v>0</v>
      </c>
      <c r="K59" s="36">
        <f t="shared" si="0"/>
        <v>0.44</v>
      </c>
    </row>
    <row r="60" spans="1:11" s="5" customFormat="1" ht="33.6" customHeight="1" x14ac:dyDescent="0.25">
      <c r="A60" s="23">
        <v>50</v>
      </c>
      <c r="B60" s="49" t="s">
        <v>2649</v>
      </c>
      <c r="C60" s="15" t="s">
        <v>38</v>
      </c>
      <c r="D60" s="7" t="s">
        <v>1098</v>
      </c>
      <c r="E60" s="14" t="s">
        <v>1078</v>
      </c>
      <c r="F60" s="13" t="s">
        <v>1051</v>
      </c>
      <c r="G60" s="13">
        <v>3.5</v>
      </c>
      <c r="H60" s="16">
        <v>8.5000000000000006E-2</v>
      </c>
      <c r="I60" s="16">
        <v>8.5000000000000006E-2</v>
      </c>
      <c r="J60" s="16">
        <v>0</v>
      </c>
      <c r="K60" s="36">
        <f t="shared" si="0"/>
        <v>8.5000000000000006E-2</v>
      </c>
    </row>
    <row r="61" spans="1:11" s="5" customFormat="1" ht="25.9" customHeight="1" x14ac:dyDescent="0.25">
      <c r="A61" s="23">
        <v>51</v>
      </c>
      <c r="B61" s="49" t="s">
        <v>2650</v>
      </c>
      <c r="C61" s="15" t="s">
        <v>38</v>
      </c>
      <c r="D61" s="7" t="s">
        <v>1099</v>
      </c>
      <c r="E61" s="14" t="s">
        <v>1078</v>
      </c>
      <c r="F61" s="13" t="s">
        <v>1051</v>
      </c>
      <c r="G61" s="13">
        <v>3.5</v>
      </c>
      <c r="H61" s="16">
        <v>8.7999999999999995E-2</v>
      </c>
      <c r="I61" s="16">
        <v>8.7999999999999995E-2</v>
      </c>
      <c r="J61" s="16">
        <v>0</v>
      </c>
      <c r="K61" s="36">
        <f t="shared" si="0"/>
        <v>8.7999999999999995E-2</v>
      </c>
    </row>
    <row r="62" spans="1:11" s="5" customFormat="1" ht="28.15" customHeight="1" x14ac:dyDescent="0.25">
      <c r="A62" s="23">
        <v>52</v>
      </c>
      <c r="B62" s="49" t="s">
        <v>2651</v>
      </c>
      <c r="C62" s="15" t="s">
        <v>976</v>
      </c>
      <c r="D62" s="7" t="s">
        <v>1100</v>
      </c>
      <c r="E62" s="14" t="s">
        <v>1078</v>
      </c>
      <c r="F62" s="13" t="s">
        <v>1051</v>
      </c>
      <c r="G62" s="13">
        <v>3.5</v>
      </c>
      <c r="H62" s="16">
        <v>0.2</v>
      </c>
      <c r="I62" s="16">
        <v>0</v>
      </c>
      <c r="J62" s="16">
        <v>0</v>
      </c>
      <c r="K62" s="36">
        <f t="shared" si="0"/>
        <v>0.2</v>
      </c>
    </row>
    <row r="63" spans="1:11" s="5" customFormat="1" ht="27" customHeight="1" x14ac:dyDescent="0.25">
      <c r="A63" s="23">
        <v>53</v>
      </c>
      <c r="B63" s="49" t="s">
        <v>2652</v>
      </c>
      <c r="C63" s="15" t="s">
        <v>39</v>
      </c>
      <c r="D63" s="7" t="s">
        <v>1101</v>
      </c>
      <c r="E63" s="14" t="s">
        <v>1078</v>
      </c>
      <c r="F63" s="13" t="s">
        <v>1051</v>
      </c>
      <c r="G63" s="13">
        <v>3.5</v>
      </c>
      <c r="H63" s="16">
        <v>0.67</v>
      </c>
      <c r="I63" s="16">
        <v>0.67</v>
      </c>
      <c r="J63" s="16">
        <v>0</v>
      </c>
      <c r="K63" s="36">
        <f t="shared" si="0"/>
        <v>0.67</v>
      </c>
    </row>
    <row r="64" spans="1:11" s="5" customFormat="1" ht="28.15" customHeight="1" x14ac:dyDescent="0.25">
      <c r="A64" s="23">
        <v>54</v>
      </c>
      <c r="B64" s="49" t="s">
        <v>2653</v>
      </c>
      <c r="C64" s="15" t="s">
        <v>39</v>
      </c>
      <c r="D64" s="7" t="s">
        <v>1102</v>
      </c>
      <c r="E64" s="14" t="s">
        <v>1078</v>
      </c>
      <c r="F64" s="13" t="s">
        <v>1051</v>
      </c>
      <c r="G64" s="13">
        <v>3.5</v>
      </c>
      <c r="H64" s="16">
        <v>0.47299999999999998</v>
      </c>
      <c r="I64" s="16">
        <v>0.47299999999999998</v>
      </c>
      <c r="J64" s="16">
        <v>0</v>
      </c>
      <c r="K64" s="36">
        <f t="shared" si="0"/>
        <v>0.47299999999999998</v>
      </c>
    </row>
    <row r="65" spans="1:11" s="5" customFormat="1" ht="28.9" customHeight="1" x14ac:dyDescent="0.25">
      <c r="A65" s="23">
        <v>55</v>
      </c>
      <c r="B65" s="49" t="s">
        <v>2654</v>
      </c>
      <c r="C65" s="15" t="s">
        <v>39</v>
      </c>
      <c r="D65" s="7" t="s">
        <v>1103</v>
      </c>
      <c r="E65" s="14" t="s">
        <v>1078</v>
      </c>
      <c r="F65" s="13" t="s">
        <v>1051</v>
      </c>
      <c r="G65" s="13">
        <v>3.5</v>
      </c>
      <c r="H65" s="16">
        <v>0.34300000000000003</v>
      </c>
      <c r="I65" s="16">
        <v>0.34300000000000003</v>
      </c>
      <c r="J65" s="16">
        <v>0</v>
      </c>
      <c r="K65" s="36">
        <f t="shared" si="0"/>
        <v>0.34300000000000003</v>
      </c>
    </row>
    <row r="66" spans="1:11" s="5" customFormat="1" ht="48" customHeight="1" x14ac:dyDescent="0.25">
      <c r="A66" s="23">
        <v>56</v>
      </c>
      <c r="B66" s="49" t="s">
        <v>2655</v>
      </c>
      <c r="C66" s="15" t="s">
        <v>38</v>
      </c>
      <c r="D66" s="7" t="s">
        <v>1104</v>
      </c>
      <c r="E66" s="14" t="s">
        <v>1078</v>
      </c>
      <c r="F66" s="13" t="s">
        <v>1051</v>
      </c>
      <c r="G66" s="13">
        <v>3.5</v>
      </c>
      <c r="H66" s="16">
        <v>0</v>
      </c>
      <c r="I66" s="16">
        <v>0</v>
      </c>
      <c r="J66" s="16">
        <v>0.59099999999999997</v>
      </c>
      <c r="K66" s="36">
        <f t="shared" si="0"/>
        <v>0.59099999999999997</v>
      </c>
    </row>
    <row r="67" spans="1:11" s="5" customFormat="1" ht="28.9" customHeight="1" x14ac:dyDescent="0.25">
      <c r="A67" s="23">
        <v>57</v>
      </c>
      <c r="B67" s="49" t="s">
        <v>2656</v>
      </c>
      <c r="C67" s="15" t="s">
        <v>39</v>
      </c>
      <c r="D67" s="7" t="s">
        <v>1629</v>
      </c>
      <c r="E67" s="14" t="s">
        <v>1078</v>
      </c>
      <c r="F67" s="13" t="s">
        <v>1051</v>
      </c>
      <c r="G67" s="13">
        <v>3.5</v>
      </c>
      <c r="H67" s="16">
        <f>0.346+0.17</f>
        <v>0.51600000000000001</v>
      </c>
      <c r="I67" s="16">
        <f>0.346+0.17</f>
        <v>0.51600000000000001</v>
      </c>
      <c r="J67" s="16">
        <f>0.134+0.217+0.53+0.367</f>
        <v>1.248</v>
      </c>
      <c r="K67" s="36">
        <f t="shared" si="0"/>
        <v>1.764</v>
      </c>
    </row>
    <row r="68" spans="1:11" s="5" customFormat="1" ht="26.45" customHeight="1" x14ac:dyDescent="0.25">
      <c r="A68" s="23">
        <v>58</v>
      </c>
      <c r="B68" s="49" t="s">
        <v>2657</v>
      </c>
      <c r="C68" s="15" t="s">
        <v>38</v>
      </c>
      <c r="D68" s="7" t="s">
        <v>1105</v>
      </c>
      <c r="E68" s="14" t="s">
        <v>1078</v>
      </c>
      <c r="F68" s="13" t="s">
        <v>1051</v>
      </c>
      <c r="G68" s="13">
        <v>3.5</v>
      </c>
      <c r="H68" s="16">
        <v>0</v>
      </c>
      <c r="I68" s="16">
        <v>0</v>
      </c>
      <c r="J68" s="16">
        <v>8.82</v>
      </c>
      <c r="K68" s="36">
        <f t="shared" si="0"/>
        <v>8.82</v>
      </c>
    </row>
    <row r="69" spans="1:11" s="5" customFormat="1" ht="29.45" customHeight="1" x14ac:dyDescent="0.25">
      <c r="A69" s="23">
        <v>59</v>
      </c>
      <c r="B69" s="49" t="s">
        <v>2658</v>
      </c>
      <c r="C69" s="15" t="s">
        <v>38</v>
      </c>
      <c r="D69" s="7" t="s">
        <v>1106</v>
      </c>
      <c r="E69" s="14" t="s">
        <v>1078</v>
      </c>
      <c r="F69" s="13" t="s">
        <v>1051</v>
      </c>
      <c r="G69" s="13">
        <v>3.5</v>
      </c>
      <c r="H69" s="16">
        <v>0</v>
      </c>
      <c r="I69" s="16">
        <v>0</v>
      </c>
      <c r="J69" s="16">
        <v>11.084</v>
      </c>
      <c r="K69" s="36">
        <f t="shared" si="0"/>
        <v>11.084</v>
      </c>
    </row>
    <row r="70" spans="1:11" s="5" customFormat="1" ht="29.45" customHeight="1" x14ac:dyDescent="0.25">
      <c r="A70" s="23">
        <v>60</v>
      </c>
      <c r="B70" s="49" t="s">
        <v>2659</v>
      </c>
      <c r="C70" s="15" t="s">
        <v>38</v>
      </c>
      <c r="D70" s="7" t="s">
        <v>1107</v>
      </c>
      <c r="E70" s="14" t="s">
        <v>1078</v>
      </c>
      <c r="F70" s="13" t="s">
        <v>1051</v>
      </c>
      <c r="G70" s="13">
        <v>3.5</v>
      </c>
      <c r="H70" s="16">
        <v>0</v>
      </c>
      <c r="I70" s="16">
        <v>0</v>
      </c>
      <c r="J70" s="16">
        <v>15.164999999999999</v>
      </c>
      <c r="K70" s="36">
        <f t="shared" si="0"/>
        <v>15.164999999999999</v>
      </c>
    </row>
    <row r="71" spans="1:11" s="5" customFormat="1" ht="24.6" customHeight="1" x14ac:dyDescent="0.25">
      <c r="A71" s="23">
        <v>61</v>
      </c>
      <c r="B71" s="49" t="s">
        <v>2660</v>
      </c>
      <c r="C71" s="15" t="s">
        <v>38</v>
      </c>
      <c r="D71" s="7" t="s">
        <v>1108</v>
      </c>
      <c r="E71" s="14" t="s">
        <v>1078</v>
      </c>
      <c r="F71" s="13" t="s">
        <v>1051</v>
      </c>
      <c r="G71" s="13">
        <v>3.5</v>
      </c>
      <c r="H71" s="16">
        <v>0</v>
      </c>
      <c r="I71" s="16">
        <v>0</v>
      </c>
      <c r="J71" s="16">
        <v>7</v>
      </c>
      <c r="K71" s="36">
        <f t="shared" si="0"/>
        <v>7</v>
      </c>
    </row>
    <row r="72" spans="1:11" s="5" customFormat="1" ht="28.15" customHeight="1" x14ac:dyDescent="0.25">
      <c r="A72" s="23">
        <v>62</v>
      </c>
      <c r="B72" s="49" t="s">
        <v>2661</v>
      </c>
      <c r="C72" s="15" t="s">
        <v>38</v>
      </c>
      <c r="D72" s="7" t="s">
        <v>1109</v>
      </c>
      <c r="E72" s="14" t="s">
        <v>1078</v>
      </c>
      <c r="F72" s="13" t="s">
        <v>1051</v>
      </c>
      <c r="G72" s="13">
        <v>3.5</v>
      </c>
      <c r="H72" s="16">
        <v>0</v>
      </c>
      <c r="I72" s="16">
        <v>0</v>
      </c>
      <c r="J72" s="16">
        <v>3.391</v>
      </c>
      <c r="K72" s="36">
        <f t="shared" si="0"/>
        <v>3.391</v>
      </c>
    </row>
    <row r="73" spans="1:11" s="5" customFormat="1" ht="31.9" customHeight="1" x14ac:dyDescent="0.25">
      <c r="A73" s="23">
        <v>63</v>
      </c>
      <c r="B73" s="49" t="s">
        <v>2662</v>
      </c>
      <c r="C73" s="15" t="s">
        <v>38</v>
      </c>
      <c r="D73" s="7" t="s">
        <v>1110</v>
      </c>
      <c r="E73" s="14" t="s">
        <v>1078</v>
      </c>
      <c r="F73" s="13" t="s">
        <v>1051</v>
      </c>
      <c r="G73" s="13">
        <v>3.5</v>
      </c>
      <c r="H73" s="16">
        <v>0</v>
      </c>
      <c r="I73" s="16">
        <v>0</v>
      </c>
      <c r="J73" s="16">
        <v>5.5860000000000003</v>
      </c>
      <c r="K73" s="36">
        <f t="shared" si="0"/>
        <v>5.5860000000000003</v>
      </c>
    </row>
    <row r="74" spans="1:11" s="5" customFormat="1" ht="32.450000000000003" customHeight="1" x14ac:dyDescent="0.25">
      <c r="A74" s="23">
        <v>64</v>
      </c>
      <c r="B74" s="49" t="s">
        <v>2663</v>
      </c>
      <c r="C74" s="15" t="s">
        <v>38</v>
      </c>
      <c r="D74" s="7" t="s">
        <v>1111</v>
      </c>
      <c r="E74" s="14" t="s">
        <v>1078</v>
      </c>
      <c r="F74" s="13" t="s">
        <v>1051</v>
      </c>
      <c r="G74" s="13">
        <v>3.5</v>
      </c>
      <c r="H74" s="16">
        <v>0</v>
      </c>
      <c r="I74" s="16">
        <v>0</v>
      </c>
      <c r="J74" s="16">
        <v>1.9350000000000001</v>
      </c>
      <c r="K74" s="36">
        <f t="shared" si="0"/>
        <v>1.9350000000000001</v>
      </c>
    </row>
    <row r="75" spans="1:11" s="5" customFormat="1" ht="30.6" customHeight="1" x14ac:dyDescent="0.25">
      <c r="A75" s="23">
        <v>65</v>
      </c>
      <c r="B75" s="49" t="s">
        <v>2664</v>
      </c>
      <c r="C75" s="15" t="s">
        <v>38</v>
      </c>
      <c r="D75" s="7" t="s">
        <v>1112</v>
      </c>
      <c r="E75" s="14" t="s">
        <v>1078</v>
      </c>
      <c r="F75" s="13" t="s">
        <v>1051</v>
      </c>
      <c r="G75" s="13">
        <v>3.5</v>
      </c>
      <c r="H75" s="16">
        <v>0</v>
      </c>
      <c r="I75" s="16">
        <v>0</v>
      </c>
      <c r="J75" s="16">
        <v>5.96</v>
      </c>
      <c r="K75" s="36">
        <f t="shared" si="0"/>
        <v>5.96</v>
      </c>
    </row>
    <row r="76" spans="1:11" s="5" customFormat="1" ht="29.45" customHeight="1" x14ac:dyDescent="0.25">
      <c r="A76" s="23">
        <v>66</v>
      </c>
      <c r="B76" s="49" t="s">
        <v>2665</v>
      </c>
      <c r="C76" s="15" t="s">
        <v>38</v>
      </c>
      <c r="D76" s="7" t="s">
        <v>1113</v>
      </c>
      <c r="E76" s="14" t="s">
        <v>1078</v>
      </c>
      <c r="F76" s="13" t="s">
        <v>1051</v>
      </c>
      <c r="G76" s="13">
        <v>3.5</v>
      </c>
      <c r="H76" s="16">
        <v>0</v>
      </c>
      <c r="I76" s="16">
        <v>0</v>
      </c>
      <c r="J76" s="16">
        <v>5.9660000000000002</v>
      </c>
      <c r="K76" s="36">
        <f t="shared" si="0"/>
        <v>5.9660000000000002</v>
      </c>
    </row>
  </sheetData>
  <sheetProtection insertRows="0" deleteRows="0" sort="0"/>
  <mergeCells count="9">
    <mergeCell ref="A7:A8"/>
    <mergeCell ref="B7:B8"/>
    <mergeCell ref="C7:C8"/>
    <mergeCell ref="D7:D8"/>
    <mergeCell ref="C1:I1"/>
    <mergeCell ref="G7:G8"/>
    <mergeCell ref="K7:K8"/>
    <mergeCell ref="E7:E8"/>
    <mergeCell ref="F7:F8"/>
  </mergeCells>
  <conditionalFormatting sqref="K11:K76">
    <cfRule type="expression" dxfId="3" priority="1">
      <formula>$H11+$J11&lt;&gt;$K11</formula>
    </cfRule>
  </conditionalFormatting>
  <conditionalFormatting sqref="H10:K10">
    <cfRule type="expression" dxfId="2" priority="245">
      <formula>H$10&lt;&gt;SUM(H$11:H$231)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1"/>
  <sheetViews>
    <sheetView zoomScaleSheetLayoutView="80" workbookViewId="0">
      <selection activeCell="J11" sqref="J11"/>
    </sheetView>
  </sheetViews>
  <sheetFormatPr defaultColWidth="9.140625" defaultRowHeight="15" x14ac:dyDescent="0.25"/>
  <cols>
    <col min="1" max="1" width="8.85546875" style="4" customWidth="1"/>
    <col min="2" max="2" width="23.85546875" style="4" customWidth="1"/>
    <col min="3" max="3" width="14.85546875" style="4" customWidth="1"/>
    <col min="4" max="4" width="34.140625" style="4" customWidth="1"/>
    <col min="5" max="5" width="20.28515625" style="4" customWidth="1"/>
    <col min="6" max="6" width="11.5703125" style="4" customWidth="1"/>
    <col min="7" max="7" width="13.42578125" style="4" customWidth="1"/>
    <col min="8" max="8" width="16.7109375" style="4" customWidth="1"/>
    <col min="9" max="9" width="13" style="4" customWidth="1"/>
    <col min="10" max="10" width="15.28515625" style="4" customWidth="1"/>
    <col min="11" max="11" width="9.28515625" style="4" customWidth="1"/>
    <col min="12" max="16384" width="9.140625" style="4"/>
  </cols>
  <sheetData>
    <row r="1" spans="1:12" ht="28.9" customHeight="1" x14ac:dyDescent="0.25">
      <c r="B1" s="5"/>
      <c r="C1" s="180" t="s">
        <v>3282</v>
      </c>
      <c r="D1" s="180"/>
      <c r="E1" s="180"/>
      <c r="F1" s="180"/>
      <c r="G1" s="180"/>
      <c r="H1" s="180"/>
      <c r="I1" s="180"/>
      <c r="J1" s="5"/>
    </row>
    <row r="2" spans="1:12" x14ac:dyDescent="0.25">
      <c r="C2" s="152"/>
      <c r="D2" s="152"/>
      <c r="E2" s="152"/>
      <c r="F2" s="152"/>
      <c r="G2" s="152"/>
      <c r="H2" s="152"/>
      <c r="I2" s="152"/>
      <c r="J2" s="153" t="s">
        <v>3187</v>
      </c>
      <c r="K2" s="153"/>
    </row>
    <row r="3" spans="1:12" x14ac:dyDescent="0.25">
      <c r="C3" s="152"/>
      <c r="D3" s="152"/>
      <c r="E3" s="152"/>
      <c r="F3" s="152"/>
      <c r="G3" s="152"/>
      <c r="H3" s="152"/>
      <c r="I3" s="152"/>
      <c r="J3" s="153" t="s">
        <v>3188</v>
      </c>
      <c r="K3" s="153"/>
    </row>
    <row r="4" spans="1:12" x14ac:dyDescent="0.25">
      <c r="C4" s="152"/>
      <c r="D4" s="152"/>
      <c r="E4" s="152"/>
      <c r="F4" s="152"/>
      <c r="G4" s="152"/>
      <c r="H4" s="152"/>
      <c r="I4" s="152"/>
      <c r="J4" s="153" t="s">
        <v>3283</v>
      </c>
      <c r="K4" s="153"/>
    </row>
    <row r="5" spans="1:12" x14ac:dyDescent="0.25">
      <c r="J5" s="153" t="s">
        <v>3284</v>
      </c>
      <c r="K5" s="153"/>
    </row>
    <row r="7" spans="1:12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3" t="s">
        <v>16</v>
      </c>
      <c r="H7" s="173"/>
      <c r="I7" s="172"/>
      <c r="J7" s="178" t="s">
        <v>5</v>
      </c>
    </row>
    <row r="8" spans="1:12" s="5" customFormat="1" ht="60" customHeight="1" x14ac:dyDescent="0.25">
      <c r="A8" s="184"/>
      <c r="B8" s="184"/>
      <c r="C8" s="184"/>
      <c r="D8" s="184"/>
      <c r="E8" s="184"/>
      <c r="F8" s="184"/>
      <c r="G8" s="25" t="s">
        <v>3</v>
      </c>
      <c r="H8" s="25" t="s">
        <v>24</v>
      </c>
      <c r="I8" s="59" t="s">
        <v>4</v>
      </c>
      <c r="J8" s="184"/>
    </row>
    <row r="9" spans="1:12" s="5" customFormat="1" ht="21.75" customHeight="1" x14ac:dyDescent="0.25">
      <c r="A9" s="162">
        <v>1</v>
      </c>
      <c r="B9" s="162">
        <v>2</v>
      </c>
      <c r="C9" s="162">
        <v>3</v>
      </c>
      <c r="D9" s="162">
        <v>4</v>
      </c>
      <c r="E9" s="162">
        <v>5</v>
      </c>
      <c r="F9" s="163">
        <v>6</v>
      </c>
      <c r="G9" s="163">
        <v>7</v>
      </c>
      <c r="H9" s="162">
        <v>8</v>
      </c>
      <c r="I9" s="162">
        <v>9</v>
      </c>
      <c r="J9" s="140">
        <v>10</v>
      </c>
    </row>
    <row r="10" spans="1:12" s="5" customFormat="1" ht="29.25" customHeight="1" x14ac:dyDescent="0.25">
      <c r="A10" s="133" t="s">
        <v>2</v>
      </c>
      <c r="B10" s="134"/>
      <c r="C10" s="134"/>
      <c r="D10" s="134"/>
      <c r="E10" s="134"/>
      <c r="F10" s="135"/>
      <c r="G10" s="36">
        <v>197.42400000000001</v>
      </c>
      <c r="H10" s="36">
        <v>182.31700000000001</v>
      </c>
      <c r="I10" s="36">
        <v>159.85900000000001</v>
      </c>
      <c r="J10" s="36">
        <v>357.28300000000002</v>
      </c>
      <c r="L10" s="12"/>
    </row>
    <row r="11" spans="1:12" s="5" customFormat="1" ht="29.25" customHeight="1" x14ac:dyDescent="0.25">
      <c r="A11" s="23">
        <v>1</v>
      </c>
      <c r="B11" s="49" t="s">
        <v>2666</v>
      </c>
      <c r="C11" s="15" t="s">
        <v>1615</v>
      </c>
      <c r="D11" s="7" t="s">
        <v>1614</v>
      </c>
      <c r="E11" s="14" t="s">
        <v>1127</v>
      </c>
      <c r="F11" s="13" t="s">
        <v>1114</v>
      </c>
      <c r="G11" s="16">
        <v>2.3929999999999998</v>
      </c>
      <c r="H11" s="16">
        <v>2.3929999999999998</v>
      </c>
      <c r="I11" s="16"/>
      <c r="J11" s="36">
        <f t="shared" ref="J11:J74" si="0">G11+I11</f>
        <v>2.3929999999999998</v>
      </c>
      <c r="K11" s="12"/>
    </row>
    <row r="12" spans="1:12" s="5" customFormat="1" ht="34.5" customHeight="1" x14ac:dyDescent="0.25">
      <c r="A12" s="23">
        <v>2</v>
      </c>
      <c r="B12" s="49" t="s">
        <v>2667</v>
      </c>
      <c r="C12" s="15" t="s">
        <v>39</v>
      </c>
      <c r="D12" s="7" t="s">
        <v>1613</v>
      </c>
      <c r="E12" s="14" t="s">
        <v>1127</v>
      </c>
      <c r="F12" s="13" t="s">
        <v>1114</v>
      </c>
      <c r="G12" s="16">
        <v>1.677</v>
      </c>
      <c r="H12" s="16">
        <v>1.677</v>
      </c>
      <c r="I12" s="16"/>
      <c r="J12" s="36">
        <f t="shared" si="0"/>
        <v>1.677</v>
      </c>
    </row>
    <row r="13" spans="1:12" s="5" customFormat="1" ht="23.25" customHeight="1" x14ac:dyDescent="0.25">
      <c r="A13" s="23">
        <v>3</v>
      </c>
      <c r="B13" s="49" t="s">
        <v>2668</v>
      </c>
      <c r="C13" s="15" t="s">
        <v>39</v>
      </c>
      <c r="D13" s="7" t="s">
        <v>1612</v>
      </c>
      <c r="E13" s="14" t="s">
        <v>1127</v>
      </c>
      <c r="F13" s="13" t="s">
        <v>1114</v>
      </c>
      <c r="G13" s="16">
        <v>0.4</v>
      </c>
      <c r="H13" s="16">
        <v>0.4</v>
      </c>
      <c r="I13" s="16"/>
      <c r="J13" s="36">
        <f t="shared" si="0"/>
        <v>0.4</v>
      </c>
    </row>
    <row r="14" spans="1:12" s="5" customFormat="1" ht="23.25" customHeight="1" x14ac:dyDescent="0.25">
      <c r="A14" s="23">
        <v>4</v>
      </c>
      <c r="B14" s="49" t="s">
        <v>2669</v>
      </c>
      <c r="C14" s="15" t="s">
        <v>39</v>
      </c>
      <c r="D14" s="7" t="s">
        <v>1611</v>
      </c>
      <c r="E14" s="14" t="s">
        <v>1127</v>
      </c>
      <c r="F14" s="13" t="s">
        <v>1114</v>
      </c>
      <c r="G14" s="16">
        <v>1.454</v>
      </c>
      <c r="H14" s="16">
        <v>1.454</v>
      </c>
      <c r="I14" s="16"/>
      <c r="J14" s="36">
        <f t="shared" si="0"/>
        <v>1.454</v>
      </c>
    </row>
    <row r="15" spans="1:12" s="5" customFormat="1" ht="23.25" customHeight="1" x14ac:dyDescent="0.25">
      <c r="A15" s="23">
        <v>5</v>
      </c>
      <c r="B15" s="49" t="s">
        <v>2670</v>
      </c>
      <c r="C15" s="15" t="s">
        <v>39</v>
      </c>
      <c r="D15" s="7" t="s">
        <v>1610</v>
      </c>
      <c r="E15" s="14" t="s">
        <v>1127</v>
      </c>
      <c r="F15" s="13" t="s">
        <v>1114</v>
      </c>
      <c r="G15" s="16">
        <v>0.73</v>
      </c>
      <c r="H15" s="16">
        <v>0.73</v>
      </c>
      <c r="I15" s="16"/>
      <c r="J15" s="36">
        <f t="shared" si="0"/>
        <v>0.73</v>
      </c>
    </row>
    <row r="16" spans="1:12" s="5" customFormat="1" ht="23.25" customHeight="1" x14ac:dyDescent="0.25">
      <c r="A16" s="23">
        <v>6</v>
      </c>
      <c r="B16" s="49" t="s">
        <v>2671</v>
      </c>
      <c r="C16" s="15" t="s">
        <v>39</v>
      </c>
      <c r="D16" s="7" t="s">
        <v>1609</v>
      </c>
      <c r="E16" s="14" t="s">
        <v>1127</v>
      </c>
      <c r="F16" s="13" t="s">
        <v>1114</v>
      </c>
      <c r="G16" s="16">
        <v>1.4470000000000001</v>
      </c>
      <c r="H16" s="16">
        <v>1.4470000000000001</v>
      </c>
      <c r="I16" s="16"/>
      <c r="J16" s="36">
        <f t="shared" si="0"/>
        <v>1.4470000000000001</v>
      </c>
    </row>
    <row r="17" spans="1:11" s="5" customFormat="1" ht="23.25" customHeight="1" x14ac:dyDescent="0.25">
      <c r="A17" s="23">
        <v>7</v>
      </c>
      <c r="B17" s="49" t="s">
        <v>2672</v>
      </c>
      <c r="C17" s="15" t="s">
        <v>39</v>
      </c>
      <c r="D17" s="7" t="s">
        <v>1608</v>
      </c>
      <c r="E17" s="14" t="s">
        <v>1127</v>
      </c>
      <c r="F17" s="13" t="s">
        <v>1114</v>
      </c>
      <c r="G17" s="16">
        <v>2.0579999999999998</v>
      </c>
      <c r="H17" s="16">
        <v>2.0579999999999998</v>
      </c>
      <c r="I17" s="16"/>
      <c r="J17" s="36">
        <f t="shared" si="0"/>
        <v>2.0579999999999998</v>
      </c>
    </row>
    <row r="18" spans="1:11" s="5" customFormat="1" ht="23.25" customHeight="1" x14ac:dyDescent="0.25">
      <c r="A18" s="23">
        <v>8</v>
      </c>
      <c r="B18" s="49" t="s">
        <v>2673</v>
      </c>
      <c r="C18" s="15" t="s">
        <v>39</v>
      </c>
      <c r="D18" s="7" t="s">
        <v>1607</v>
      </c>
      <c r="E18" s="14" t="s">
        <v>1127</v>
      </c>
      <c r="F18" s="13" t="s">
        <v>1114</v>
      </c>
      <c r="G18" s="16">
        <v>2.528</v>
      </c>
      <c r="H18" s="16">
        <v>2.528</v>
      </c>
      <c r="I18" s="16"/>
      <c r="J18" s="36">
        <f t="shared" si="0"/>
        <v>2.528</v>
      </c>
    </row>
    <row r="19" spans="1:11" s="5" customFormat="1" ht="23.25" customHeight="1" x14ac:dyDescent="0.25">
      <c r="A19" s="23">
        <v>9</v>
      </c>
      <c r="B19" s="49" t="s">
        <v>2674</v>
      </c>
      <c r="C19" s="15" t="s">
        <v>39</v>
      </c>
      <c r="D19" s="7" t="s">
        <v>1606</v>
      </c>
      <c r="E19" s="14" t="s">
        <v>1127</v>
      </c>
      <c r="F19" s="13" t="s">
        <v>1114</v>
      </c>
      <c r="G19" s="16">
        <v>2.363</v>
      </c>
      <c r="H19" s="16">
        <v>2.363</v>
      </c>
      <c r="I19" s="16"/>
      <c r="J19" s="36">
        <f t="shared" si="0"/>
        <v>2.363</v>
      </c>
    </row>
    <row r="20" spans="1:11" s="5" customFormat="1" ht="23.25" customHeight="1" x14ac:dyDescent="0.25">
      <c r="A20" s="23">
        <v>10</v>
      </c>
      <c r="B20" s="49" t="s">
        <v>2675</v>
      </c>
      <c r="C20" s="15" t="s">
        <v>39</v>
      </c>
      <c r="D20" s="7" t="s">
        <v>1605</v>
      </c>
      <c r="E20" s="14" t="s">
        <v>1127</v>
      </c>
      <c r="F20" s="13" t="s">
        <v>1114</v>
      </c>
      <c r="G20" s="16">
        <v>1.286</v>
      </c>
      <c r="H20" s="16">
        <v>1.286</v>
      </c>
      <c r="I20" s="16"/>
      <c r="J20" s="36">
        <f t="shared" si="0"/>
        <v>1.286</v>
      </c>
    </row>
    <row r="21" spans="1:11" s="5" customFormat="1" ht="23.25" customHeight="1" x14ac:dyDescent="0.25">
      <c r="A21" s="23">
        <v>11</v>
      </c>
      <c r="B21" s="49" t="s">
        <v>2676</v>
      </c>
      <c r="C21" s="15" t="s">
        <v>39</v>
      </c>
      <c r="D21" s="7" t="s">
        <v>1604</v>
      </c>
      <c r="E21" s="14" t="s">
        <v>1127</v>
      </c>
      <c r="F21" s="13" t="s">
        <v>1114</v>
      </c>
      <c r="G21" s="16">
        <v>1.907</v>
      </c>
      <c r="H21" s="16">
        <v>1.907</v>
      </c>
      <c r="I21" s="16"/>
      <c r="J21" s="36">
        <f t="shared" si="0"/>
        <v>1.907</v>
      </c>
    </row>
    <row r="22" spans="1:11" s="5" customFormat="1" ht="33.75" customHeight="1" x14ac:dyDescent="0.25">
      <c r="A22" s="23">
        <v>12</v>
      </c>
      <c r="B22" s="49" t="s">
        <v>2677</v>
      </c>
      <c r="C22" s="15" t="s">
        <v>39</v>
      </c>
      <c r="D22" s="7" t="s">
        <v>1603</v>
      </c>
      <c r="E22" s="14" t="s">
        <v>1127</v>
      </c>
      <c r="F22" s="13" t="s">
        <v>1114</v>
      </c>
      <c r="G22" s="16">
        <v>1.782</v>
      </c>
      <c r="H22" s="16">
        <v>1.782</v>
      </c>
      <c r="I22" s="16"/>
      <c r="J22" s="36">
        <f t="shared" si="0"/>
        <v>1.782</v>
      </c>
    </row>
    <row r="23" spans="1:11" s="5" customFormat="1" ht="23.25" customHeight="1" x14ac:dyDescent="0.25">
      <c r="A23" s="23">
        <v>13</v>
      </c>
      <c r="B23" s="49" t="s">
        <v>2678</v>
      </c>
      <c r="C23" s="15" t="s">
        <v>39</v>
      </c>
      <c r="D23" s="7" t="s">
        <v>1602</v>
      </c>
      <c r="E23" s="14" t="s">
        <v>1127</v>
      </c>
      <c r="F23" s="13" t="s">
        <v>1114</v>
      </c>
      <c r="G23" s="16">
        <v>1.0149999999999999</v>
      </c>
      <c r="H23" s="16">
        <v>1.0149999999999999</v>
      </c>
      <c r="I23" s="16"/>
      <c r="J23" s="36">
        <f t="shared" si="0"/>
        <v>1.0149999999999999</v>
      </c>
    </row>
    <row r="24" spans="1:11" s="5" customFormat="1" ht="34.5" customHeight="1" x14ac:dyDescent="0.25">
      <c r="A24" s="23">
        <v>14</v>
      </c>
      <c r="B24" s="49" t="s">
        <v>2679</v>
      </c>
      <c r="C24" s="15" t="s">
        <v>39</v>
      </c>
      <c r="D24" s="7" t="s">
        <v>1601</v>
      </c>
      <c r="E24" s="14" t="s">
        <v>1127</v>
      </c>
      <c r="F24" s="13" t="s">
        <v>1114</v>
      </c>
      <c r="G24" s="16">
        <v>0.72899999999999998</v>
      </c>
      <c r="H24" s="16">
        <v>0.72899999999999998</v>
      </c>
      <c r="I24" s="16"/>
      <c r="J24" s="36">
        <f t="shared" si="0"/>
        <v>0.72899999999999998</v>
      </c>
    </row>
    <row r="25" spans="1:11" s="5" customFormat="1" ht="23.25" customHeight="1" x14ac:dyDescent="0.25">
      <c r="A25" s="23">
        <v>15</v>
      </c>
      <c r="B25" s="49" t="s">
        <v>2680</v>
      </c>
      <c r="C25" s="15" t="s">
        <v>39</v>
      </c>
      <c r="D25" s="7" t="s">
        <v>1600</v>
      </c>
      <c r="E25" s="14" t="s">
        <v>1127</v>
      </c>
      <c r="F25" s="13" t="s">
        <v>1114</v>
      </c>
      <c r="G25" s="16">
        <v>1.595</v>
      </c>
      <c r="H25" s="16">
        <v>1.595</v>
      </c>
      <c r="I25" s="16">
        <v>7.5999999999999998E-2</v>
      </c>
      <c r="J25" s="36">
        <f t="shared" si="0"/>
        <v>1.671</v>
      </c>
    </row>
    <row r="26" spans="1:11" s="5" customFormat="1" ht="23.25" customHeight="1" x14ac:dyDescent="0.25">
      <c r="A26" s="23">
        <v>16</v>
      </c>
      <c r="B26" s="49" t="s">
        <v>2681</v>
      </c>
      <c r="C26" s="15" t="s">
        <v>39</v>
      </c>
      <c r="D26" s="7" t="s">
        <v>1599</v>
      </c>
      <c r="E26" s="14" t="s">
        <v>1127</v>
      </c>
      <c r="F26" s="13" t="s">
        <v>1114</v>
      </c>
      <c r="G26" s="16">
        <v>3.7210000000000001</v>
      </c>
      <c r="H26" s="16">
        <v>3.7210000000000001</v>
      </c>
      <c r="I26" s="16"/>
      <c r="J26" s="36">
        <f t="shared" si="0"/>
        <v>3.7210000000000001</v>
      </c>
    </row>
    <row r="27" spans="1:11" s="5" customFormat="1" ht="23.25" customHeight="1" x14ac:dyDescent="0.25">
      <c r="A27" s="23">
        <v>17</v>
      </c>
      <c r="B27" s="49" t="s">
        <v>2682</v>
      </c>
      <c r="C27" s="15" t="s">
        <v>39</v>
      </c>
      <c r="D27" s="7" t="s">
        <v>1598</v>
      </c>
      <c r="E27" s="14" t="s">
        <v>1127</v>
      </c>
      <c r="F27" s="13" t="s">
        <v>1114</v>
      </c>
      <c r="G27" s="16">
        <v>1.6419999999999999</v>
      </c>
      <c r="H27" s="16">
        <v>1.6419999999999999</v>
      </c>
      <c r="I27" s="16">
        <v>0.35</v>
      </c>
      <c r="J27" s="36">
        <f t="shared" si="0"/>
        <v>1.992</v>
      </c>
      <c r="K27" s="12"/>
    </row>
    <row r="28" spans="1:11" s="5" customFormat="1" ht="23.25" customHeight="1" x14ac:dyDescent="0.25">
      <c r="A28" s="23">
        <v>18</v>
      </c>
      <c r="B28" s="49" t="s">
        <v>2683</v>
      </c>
      <c r="C28" s="15" t="s">
        <v>39</v>
      </c>
      <c r="D28" s="7" t="s">
        <v>1597</v>
      </c>
      <c r="E28" s="14" t="s">
        <v>1127</v>
      </c>
      <c r="F28" s="13" t="s">
        <v>1114</v>
      </c>
      <c r="G28" s="16">
        <v>0.63</v>
      </c>
      <c r="H28" s="16">
        <v>0.63</v>
      </c>
      <c r="I28" s="16"/>
      <c r="J28" s="36">
        <f t="shared" si="0"/>
        <v>0.63</v>
      </c>
    </row>
    <row r="29" spans="1:11" s="5" customFormat="1" ht="34.5" customHeight="1" x14ac:dyDescent="0.25">
      <c r="A29" s="23">
        <v>19</v>
      </c>
      <c r="B29" s="49" t="s">
        <v>2684</v>
      </c>
      <c r="C29" s="15" t="s">
        <v>39</v>
      </c>
      <c r="D29" s="7" t="s">
        <v>1596</v>
      </c>
      <c r="E29" s="14" t="s">
        <v>1127</v>
      </c>
      <c r="F29" s="13" t="s">
        <v>1114</v>
      </c>
      <c r="G29" s="16">
        <v>0.66400000000000003</v>
      </c>
      <c r="H29" s="16">
        <v>9.5000000000000001E-2</v>
      </c>
      <c r="I29" s="16">
        <v>0.121</v>
      </c>
      <c r="J29" s="36">
        <f t="shared" si="0"/>
        <v>0.78500000000000003</v>
      </c>
    </row>
    <row r="30" spans="1:11" s="5" customFormat="1" ht="27" customHeight="1" x14ac:dyDescent="0.25">
      <c r="A30" s="23">
        <v>20</v>
      </c>
      <c r="B30" s="49" t="s">
        <v>2685</v>
      </c>
      <c r="C30" s="15" t="s">
        <v>39</v>
      </c>
      <c r="D30" s="7" t="s">
        <v>1595</v>
      </c>
      <c r="E30" s="14" t="s">
        <v>1127</v>
      </c>
      <c r="F30" s="13" t="s">
        <v>1114</v>
      </c>
      <c r="G30" s="16">
        <v>0.75</v>
      </c>
      <c r="H30" s="16">
        <v>0.75</v>
      </c>
      <c r="I30" s="16">
        <v>0.1</v>
      </c>
      <c r="J30" s="36">
        <f t="shared" si="0"/>
        <v>0.85</v>
      </c>
    </row>
    <row r="31" spans="1:11" s="5" customFormat="1" ht="23.25" customHeight="1" x14ac:dyDescent="0.25">
      <c r="A31" s="23">
        <v>21</v>
      </c>
      <c r="B31" s="49" t="s">
        <v>2686</v>
      </c>
      <c r="C31" s="15" t="s">
        <v>39</v>
      </c>
      <c r="D31" s="7" t="s">
        <v>1594</v>
      </c>
      <c r="E31" s="14" t="s">
        <v>1127</v>
      </c>
      <c r="F31" s="13" t="s">
        <v>1114</v>
      </c>
      <c r="G31" s="16">
        <v>0.90300000000000002</v>
      </c>
      <c r="H31" s="16">
        <v>0.90300000000000002</v>
      </c>
      <c r="I31" s="16"/>
      <c r="J31" s="36">
        <f t="shared" si="0"/>
        <v>0.90300000000000002</v>
      </c>
    </row>
    <row r="32" spans="1:11" s="5" customFormat="1" ht="23.25" customHeight="1" x14ac:dyDescent="0.25">
      <c r="A32" s="23">
        <v>22</v>
      </c>
      <c r="B32" s="49" t="s">
        <v>2687</v>
      </c>
      <c r="C32" s="15" t="s">
        <v>39</v>
      </c>
      <c r="D32" s="7" t="s">
        <v>1593</v>
      </c>
      <c r="E32" s="14" t="s">
        <v>1127</v>
      </c>
      <c r="F32" s="13" t="s">
        <v>1114</v>
      </c>
      <c r="G32" s="16">
        <v>0.67600000000000005</v>
      </c>
      <c r="H32" s="16">
        <v>0.67600000000000005</v>
      </c>
      <c r="I32" s="16"/>
      <c r="J32" s="36">
        <f t="shared" si="0"/>
        <v>0.67600000000000005</v>
      </c>
    </row>
    <row r="33" spans="1:10" s="5" customFormat="1" ht="31.5" customHeight="1" x14ac:dyDescent="0.25">
      <c r="A33" s="23">
        <v>23</v>
      </c>
      <c r="B33" s="49" t="s">
        <v>2688</v>
      </c>
      <c r="C33" s="15" t="s">
        <v>39</v>
      </c>
      <c r="D33" s="7" t="s">
        <v>1592</v>
      </c>
      <c r="E33" s="14" t="s">
        <v>1127</v>
      </c>
      <c r="F33" s="13" t="s">
        <v>1114</v>
      </c>
      <c r="G33" s="16">
        <v>2.8540000000000001</v>
      </c>
      <c r="H33" s="16">
        <v>2.7719999999999998</v>
      </c>
      <c r="I33" s="16">
        <v>2.3050000000000002</v>
      </c>
      <c r="J33" s="36">
        <f t="shared" si="0"/>
        <v>5.1590000000000007</v>
      </c>
    </row>
    <row r="34" spans="1:10" s="5" customFormat="1" ht="30" customHeight="1" x14ac:dyDescent="0.25">
      <c r="A34" s="23">
        <v>24</v>
      </c>
      <c r="B34" s="49" t="s">
        <v>2689</v>
      </c>
      <c r="C34" s="15" t="s">
        <v>39</v>
      </c>
      <c r="D34" s="7" t="s">
        <v>1591</v>
      </c>
      <c r="E34" s="14" t="s">
        <v>1127</v>
      </c>
      <c r="F34" s="13" t="s">
        <v>1114</v>
      </c>
      <c r="G34" s="16">
        <v>0.874</v>
      </c>
      <c r="H34" s="16">
        <v>0.874</v>
      </c>
      <c r="I34" s="16"/>
      <c r="J34" s="36">
        <f t="shared" si="0"/>
        <v>0.874</v>
      </c>
    </row>
    <row r="35" spans="1:10" s="5" customFormat="1" ht="23.25" customHeight="1" x14ac:dyDescent="0.25">
      <c r="A35" s="23">
        <v>25</v>
      </c>
      <c r="B35" s="49" t="s">
        <v>2690</v>
      </c>
      <c r="C35" s="15" t="s">
        <v>39</v>
      </c>
      <c r="D35" s="7" t="s">
        <v>1590</v>
      </c>
      <c r="E35" s="14" t="s">
        <v>1127</v>
      </c>
      <c r="F35" s="13" t="s">
        <v>1114</v>
      </c>
      <c r="G35" s="16">
        <v>3.2970000000000002</v>
      </c>
      <c r="H35" s="16">
        <v>3.2970000000000002</v>
      </c>
      <c r="I35" s="16"/>
      <c r="J35" s="36">
        <f t="shared" si="0"/>
        <v>3.2970000000000002</v>
      </c>
    </row>
    <row r="36" spans="1:10" s="5" customFormat="1" ht="23.25" customHeight="1" x14ac:dyDescent="0.25">
      <c r="A36" s="23">
        <v>26</v>
      </c>
      <c r="B36" s="49" t="s">
        <v>2691</v>
      </c>
      <c r="C36" s="15" t="s">
        <v>39</v>
      </c>
      <c r="D36" s="7" t="s">
        <v>1589</v>
      </c>
      <c r="E36" s="14" t="s">
        <v>1127</v>
      </c>
      <c r="F36" s="13" t="s">
        <v>1114</v>
      </c>
      <c r="G36" s="16">
        <v>1.8280000000000001</v>
      </c>
      <c r="H36" s="16">
        <v>1.8280000000000001</v>
      </c>
      <c r="I36" s="16"/>
      <c r="J36" s="36">
        <f t="shared" si="0"/>
        <v>1.8280000000000001</v>
      </c>
    </row>
    <row r="37" spans="1:10" s="5" customFormat="1" ht="23.25" customHeight="1" x14ac:dyDescent="0.25">
      <c r="A37" s="23">
        <v>27</v>
      </c>
      <c r="B37" s="49" t="s">
        <v>2692</v>
      </c>
      <c r="C37" s="15" t="s">
        <v>39</v>
      </c>
      <c r="D37" s="7" t="s">
        <v>1588</v>
      </c>
      <c r="E37" s="14" t="s">
        <v>1127</v>
      </c>
      <c r="F37" s="13" t="s">
        <v>1114</v>
      </c>
      <c r="G37" s="16">
        <v>4.7389999999999999</v>
      </c>
      <c r="H37" s="16">
        <v>4.7389999999999999</v>
      </c>
      <c r="I37" s="16"/>
      <c r="J37" s="36">
        <f t="shared" si="0"/>
        <v>4.7389999999999999</v>
      </c>
    </row>
    <row r="38" spans="1:10" s="5" customFormat="1" ht="23.25" customHeight="1" x14ac:dyDescent="0.25">
      <c r="A38" s="23">
        <v>28</v>
      </c>
      <c r="B38" s="49" t="s">
        <v>2693</v>
      </c>
      <c r="C38" s="15" t="s">
        <v>39</v>
      </c>
      <c r="D38" s="7" t="s">
        <v>1587</v>
      </c>
      <c r="E38" s="14" t="s">
        <v>1127</v>
      </c>
      <c r="F38" s="13" t="s">
        <v>1114</v>
      </c>
      <c r="G38" s="16">
        <v>0.85899999999999999</v>
      </c>
      <c r="H38" s="16">
        <v>0.85899999999999999</v>
      </c>
      <c r="I38" s="16"/>
      <c r="J38" s="36">
        <f t="shared" si="0"/>
        <v>0.85899999999999999</v>
      </c>
    </row>
    <row r="39" spans="1:10" s="5" customFormat="1" ht="23.25" customHeight="1" x14ac:dyDescent="0.25">
      <c r="A39" s="23">
        <v>29</v>
      </c>
      <c r="B39" s="49" t="s">
        <v>2694</v>
      </c>
      <c r="C39" s="15" t="s">
        <v>39</v>
      </c>
      <c r="D39" s="7" t="s">
        <v>1586</v>
      </c>
      <c r="E39" s="14" t="s">
        <v>1127</v>
      </c>
      <c r="F39" s="13" t="s">
        <v>1114</v>
      </c>
      <c r="G39" s="16">
        <v>3.371</v>
      </c>
      <c r="H39" s="16">
        <v>3.371</v>
      </c>
      <c r="I39" s="16"/>
      <c r="J39" s="36">
        <f t="shared" si="0"/>
        <v>3.371</v>
      </c>
    </row>
    <row r="40" spans="1:10" s="5" customFormat="1" ht="23.25" customHeight="1" x14ac:dyDescent="0.25">
      <c r="A40" s="23">
        <v>30</v>
      </c>
      <c r="B40" s="49" t="s">
        <v>2695</v>
      </c>
      <c r="C40" s="15" t="s">
        <v>39</v>
      </c>
      <c r="D40" s="7" t="s">
        <v>1585</v>
      </c>
      <c r="E40" s="14" t="s">
        <v>1127</v>
      </c>
      <c r="F40" s="13" t="s">
        <v>1114</v>
      </c>
      <c r="G40" s="16">
        <v>1.8520000000000001</v>
      </c>
      <c r="H40" s="16">
        <v>1.8520000000000001</v>
      </c>
      <c r="I40" s="16"/>
      <c r="J40" s="36">
        <f t="shared" si="0"/>
        <v>1.8520000000000001</v>
      </c>
    </row>
    <row r="41" spans="1:10" s="5" customFormat="1" ht="23.25" customHeight="1" x14ac:dyDescent="0.25">
      <c r="A41" s="23">
        <v>31</v>
      </c>
      <c r="B41" s="49" t="s">
        <v>2696</v>
      </c>
      <c r="C41" s="15" t="s">
        <v>39</v>
      </c>
      <c r="D41" s="7" t="s">
        <v>1584</v>
      </c>
      <c r="E41" s="14" t="s">
        <v>1127</v>
      </c>
      <c r="F41" s="13" t="s">
        <v>1114</v>
      </c>
      <c r="G41" s="16">
        <v>1.05</v>
      </c>
      <c r="H41" s="16">
        <v>1.05</v>
      </c>
      <c r="I41" s="16">
        <v>0.11899999999999999</v>
      </c>
      <c r="J41" s="36">
        <f t="shared" si="0"/>
        <v>1.169</v>
      </c>
    </row>
    <row r="42" spans="1:10" s="5" customFormat="1" ht="23.25" customHeight="1" x14ac:dyDescent="0.25">
      <c r="A42" s="23">
        <v>32</v>
      </c>
      <c r="B42" s="49" t="s">
        <v>2697</v>
      </c>
      <c r="C42" s="15" t="s">
        <v>39</v>
      </c>
      <c r="D42" s="7" t="s">
        <v>1583</v>
      </c>
      <c r="E42" s="14" t="s">
        <v>1127</v>
      </c>
      <c r="F42" s="13" t="s">
        <v>1114</v>
      </c>
      <c r="G42" s="16">
        <v>0.70399999999999996</v>
      </c>
      <c r="H42" s="16">
        <v>0.70399999999999996</v>
      </c>
      <c r="I42" s="16"/>
      <c r="J42" s="36">
        <f t="shared" si="0"/>
        <v>0.70399999999999996</v>
      </c>
    </row>
    <row r="43" spans="1:10" s="5" customFormat="1" ht="23.25" customHeight="1" x14ac:dyDescent="0.25">
      <c r="A43" s="23">
        <v>33</v>
      </c>
      <c r="B43" s="49" t="s">
        <v>2698</v>
      </c>
      <c r="C43" s="15" t="s">
        <v>39</v>
      </c>
      <c r="D43" s="7" t="s">
        <v>1582</v>
      </c>
      <c r="E43" s="14" t="s">
        <v>1127</v>
      </c>
      <c r="F43" s="13" t="s">
        <v>1114</v>
      </c>
      <c r="G43" s="16">
        <v>0.51100000000000001</v>
      </c>
      <c r="H43" s="16">
        <v>0.51100000000000001</v>
      </c>
      <c r="I43" s="16">
        <v>0.16</v>
      </c>
      <c r="J43" s="36">
        <f t="shared" si="0"/>
        <v>0.67100000000000004</v>
      </c>
    </row>
    <row r="44" spans="1:10" s="5" customFormat="1" ht="23.25" customHeight="1" x14ac:dyDescent="0.25">
      <c r="A44" s="23">
        <v>34</v>
      </c>
      <c r="B44" s="49" t="s">
        <v>2699</v>
      </c>
      <c r="C44" s="15" t="s">
        <v>39</v>
      </c>
      <c r="D44" s="7" t="s">
        <v>1581</v>
      </c>
      <c r="E44" s="14" t="s">
        <v>1127</v>
      </c>
      <c r="F44" s="13" t="s">
        <v>1114</v>
      </c>
      <c r="G44" s="16">
        <v>0.54300000000000004</v>
      </c>
      <c r="H44" s="16">
        <v>0.54300000000000004</v>
      </c>
      <c r="I44" s="16"/>
      <c r="J44" s="36">
        <f t="shared" si="0"/>
        <v>0.54300000000000004</v>
      </c>
    </row>
    <row r="45" spans="1:10" s="5" customFormat="1" ht="23.25" customHeight="1" x14ac:dyDescent="0.25">
      <c r="A45" s="23">
        <v>35</v>
      </c>
      <c r="B45" s="49" t="s">
        <v>2700</v>
      </c>
      <c r="C45" s="15" t="s">
        <v>39</v>
      </c>
      <c r="D45" s="7" t="s">
        <v>1580</v>
      </c>
      <c r="E45" s="14" t="s">
        <v>1127</v>
      </c>
      <c r="F45" s="13" t="s">
        <v>1114</v>
      </c>
      <c r="G45" s="16">
        <v>1.0029999999999999</v>
      </c>
      <c r="H45" s="16">
        <v>1.0029999999999999</v>
      </c>
      <c r="I45" s="16"/>
      <c r="J45" s="36">
        <f t="shared" si="0"/>
        <v>1.0029999999999999</v>
      </c>
    </row>
    <row r="46" spans="1:10" s="5" customFormat="1" ht="23.25" customHeight="1" x14ac:dyDescent="0.25">
      <c r="A46" s="23">
        <v>36</v>
      </c>
      <c r="B46" s="49" t="s">
        <v>2701</v>
      </c>
      <c r="C46" s="15" t="s">
        <v>39</v>
      </c>
      <c r="D46" s="7" t="s">
        <v>1579</v>
      </c>
      <c r="E46" s="14" t="s">
        <v>1127</v>
      </c>
      <c r="F46" s="13" t="s">
        <v>1114</v>
      </c>
      <c r="G46" s="16">
        <v>0.2</v>
      </c>
      <c r="H46" s="16">
        <v>0.2</v>
      </c>
      <c r="I46" s="16"/>
      <c r="J46" s="36">
        <f t="shared" si="0"/>
        <v>0.2</v>
      </c>
    </row>
    <row r="47" spans="1:10" s="5" customFormat="1" ht="23.25" customHeight="1" x14ac:dyDescent="0.25">
      <c r="A47" s="23">
        <v>37</v>
      </c>
      <c r="B47" s="49" t="s">
        <v>2702</v>
      </c>
      <c r="C47" s="15" t="s">
        <v>39</v>
      </c>
      <c r="D47" s="7" t="s">
        <v>1578</v>
      </c>
      <c r="E47" s="14" t="s">
        <v>1127</v>
      </c>
      <c r="F47" s="13" t="s">
        <v>1114</v>
      </c>
      <c r="G47" s="16">
        <v>0.61</v>
      </c>
      <c r="H47" s="16">
        <v>0.61</v>
      </c>
      <c r="I47" s="16"/>
      <c r="J47" s="36">
        <f t="shared" si="0"/>
        <v>0.61</v>
      </c>
    </row>
    <row r="48" spans="1:10" s="5" customFormat="1" ht="23.25" customHeight="1" x14ac:dyDescent="0.25">
      <c r="A48" s="23">
        <v>38</v>
      </c>
      <c r="B48" s="49" t="s">
        <v>2703</v>
      </c>
      <c r="C48" s="15" t="s">
        <v>39</v>
      </c>
      <c r="D48" s="7" t="s">
        <v>1577</v>
      </c>
      <c r="E48" s="14" t="s">
        <v>1127</v>
      </c>
      <c r="F48" s="13" t="s">
        <v>1114</v>
      </c>
      <c r="G48" s="16">
        <v>0.6</v>
      </c>
      <c r="H48" s="16">
        <v>0.6</v>
      </c>
      <c r="I48" s="16">
        <v>0.1</v>
      </c>
      <c r="J48" s="36">
        <f t="shared" si="0"/>
        <v>0.7</v>
      </c>
    </row>
    <row r="49" spans="1:11" s="5" customFormat="1" ht="34.5" customHeight="1" x14ac:dyDescent="0.25">
      <c r="A49" s="23">
        <v>39</v>
      </c>
      <c r="B49" s="49" t="s">
        <v>2704</v>
      </c>
      <c r="C49" s="15" t="s">
        <v>976</v>
      </c>
      <c r="D49" s="7" t="s">
        <v>1576</v>
      </c>
      <c r="E49" s="14" t="s">
        <v>1127</v>
      </c>
      <c r="F49" s="13" t="s">
        <v>1114</v>
      </c>
      <c r="G49" s="16">
        <v>0.22900000000000001</v>
      </c>
      <c r="H49" s="16">
        <v>0.22900000000000001</v>
      </c>
      <c r="I49" s="16"/>
      <c r="J49" s="36">
        <f t="shared" si="0"/>
        <v>0.22900000000000001</v>
      </c>
    </row>
    <row r="50" spans="1:11" s="5" customFormat="1" ht="30" customHeight="1" x14ac:dyDescent="0.25">
      <c r="A50" s="23">
        <v>40</v>
      </c>
      <c r="B50" s="49" t="s">
        <v>2705</v>
      </c>
      <c r="C50" s="15" t="s">
        <v>976</v>
      </c>
      <c r="D50" s="7" t="s">
        <v>1575</v>
      </c>
      <c r="E50" s="14" t="s">
        <v>1127</v>
      </c>
      <c r="F50" s="13" t="s">
        <v>1114</v>
      </c>
      <c r="G50" s="16">
        <v>0.22500000000000001</v>
      </c>
      <c r="H50" s="16">
        <v>0.22500000000000001</v>
      </c>
      <c r="I50" s="16"/>
      <c r="J50" s="36">
        <f t="shared" si="0"/>
        <v>0.22500000000000001</v>
      </c>
    </row>
    <row r="51" spans="1:11" s="5" customFormat="1" ht="32.25" customHeight="1" x14ac:dyDescent="0.25">
      <c r="A51" s="23">
        <v>41</v>
      </c>
      <c r="B51" s="49" t="s">
        <v>2706</v>
      </c>
      <c r="C51" s="15" t="s">
        <v>976</v>
      </c>
      <c r="D51" s="7" t="s">
        <v>1574</v>
      </c>
      <c r="E51" s="14" t="s">
        <v>1127</v>
      </c>
      <c r="F51" s="13" t="s">
        <v>1114</v>
      </c>
      <c r="G51" s="16">
        <v>0.21</v>
      </c>
      <c r="H51" s="16">
        <v>0.21</v>
      </c>
      <c r="I51" s="16"/>
      <c r="J51" s="36">
        <f t="shared" si="0"/>
        <v>0.21</v>
      </c>
      <c r="K51" s="12"/>
    </row>
    <row r="52" spans="1:11" s="5" customFormat="1" ht="23.25" customHeight="1" x14ac:dyDescent="0.25">
      <c r="A52" s="23">
        <v>42</v>
      </c>
      <c r="B52" s="49" t="s">
        <v>2707</v>
      </c>
      <c r="C52" s="17" t="s">
        <v>39</v>
      </c>
      <c r="D52" s="7" t="s">
        <v>1573</v>
      </c>
      <c r="E52" s="14" t="s">
        <v>1127</v>
      </c>
      <c r="F52" s="13" t="s">
        <v>1114</v>
      </c>
      <c r="G52" s="16">
        <v>0.52400000000000002</v>
      </c>
      <c r="H52" s="16">
        <v>0.52400000000000002</v>
      </c>
      <c r="I52" s="16"/>
      <c r="J52" s="36">
        <f t="shared" si="0"/>
        <v>0.52400000000000002</v>
      </c>
    </row>
    <row r="53" spans="1:11" s="5" customFormat="1" ht="23.25" customHeight="1" x14ac:dyDescent="0.25">
      <c r="A53" s="23">
        <v>43</v>
      </c>
      <c r="B53" s="49" t="s">
        <v>2708</v>
      </c>
      <c r="C53" s="15" t="s">
        <v>39</v>
      </c>
      <c r="D53" s="7" t="s">
        <v>1572</v>
      </c>
      <c r="E53" s="14" t="s">
        <v>1127</v>
      </c>
      <c r="F53" s="13" t="s">
        <v>1114</v>
      </c>
      <c r="G53" s="16">
        <v>0.23200000000000001</v>
      </c>
      <c r="H53" s="16">
        <v>0.23200000000000001</v>
      </c>
      <c r="I53" s="16">
        <v>0.46100000000000002</v>
      </c>
      <c r="J53" s="36">
        <f t="shared" si="0"/>
        <v>0.69300000000000006</v>
      </c>
    </row>
    <row r="54" spans="1:11" s="5" customFormat="1" ht="37.5" customHeight="1" x14ac:dyDescent="0.25">
      <c r="A54" s="23">
        <v>44</v>
      </c>
      <c r="B54" s="49" t="s">
        <v>2709</v>
      </c>
      <c r="C54" s="15" t="s">
        <v>39</v>
      </c>
      <c r="D54" s="7" t="s">
        <v>1571</v>
      </c>
      <c r="E54" s="14" t="s">
        <v>1127</v>
      </c>
      <c r="F54" s="13" t="s">
        <v>1114</v>
      </c>
      <c r="G54" s="16">
        <v>0.43</v>
      </c>
      <c r="H54" s="16">
        <v>0.43</v>
      </c>
      <c r="I54" s="16"/>
      <c r="J54" s="36">
        <f t="shared" si="0"/>
        <v>0.43</v>
      </c>
    </row>
    <row r="55" spans="1:11" s="5" customFormat="1" ht="23.25" customHeight="1" x14ac:dyDescent="0.25">
      <c r="A55" s="23">
        <v>45</v>
      </c>
      <c r="B55" s="49" t="s">
        <v>2710</v>
      </c>
      <c r="C55" s="15" t="s">
        <v>39</v>
      </c>
      <c r="D55" s="7" t="s">
        <v>1570</v>
      </c>
      <c r="E55" s="14" t="s">
        <v>1127</v>
      </c>
      <c r="F55" s="13" t="s">
        <v>1114</v>
      </c>
      <c r="G55" s="16">
        <v>0.77400000000000002</v>
      </c>
      <c r="H55" s="16">
        <v>0.77400000000000002</v>
      </c>
      <c r="I55" s="16"/>
      <c r="J55" s="36">
        <f t="shared" si="0"/>
        <v>0.77400000000000002</v>
      </c>
    </row>
    <row r="56" spans="1:11" s="5" customFormat="1" ht="23.25" customHeight="1" x14ac:dyDescent="0.25">
      <c r="A56" s="23">
        <v>46</v>
      </c>
      <c r="B56" s="49" t="s">
        <v>2711</v>
      </c>
      <c r="C56" s="15" t="s">
        <v>39</v>
      </c>
      <c r="D56" s="7" t="s">
        <v>1569</v>
      </c>
      <c r="E56" s="14" t="s">
        <v>1127</v>
      </c>
      <c r="F56" s="13" t="s">
        <v>1114</v>
      </c>
      <c r="G56" s="16">
        <v>0.41799999999999998</v>
      </c>
      <c r="H56" s="16">
        <v>0.41799999999999998</v>
      </c>
      <c r="I56" s="16"/>
      <c r="J56" s="36">
        <f t="shared" si="0"/>
        <v>0.41799999999999998</v>
      </c>
    </row>
    <row r="57" spans="1:11" s="5" customFormat="1" ht="23.25" customHeight="1" x14ac:dyDescent="0.25">
      <c r="A57" s="23">
        <v>47</v>
      </c>
      <c r="B57" s="49" t="s">
        <v>2712</v>
      </c>
      <c r="C57" s="15" t="s">
        <v>39</v>
      </c>
      <c r="D57" s="7" t="s">
        <v>1568</v>
      </c>
      <c r="E57" s="14" t="s">
        <v>1127</v>
      </c>
      <c r="F57" s="13" t="s">
        <v>1114</v>
      </c>
      <c r="G57" s="16">
        <v>0.66800000000000004</v>
      </c>
      <c r="H57" s="16">
        <v>0.66800000000000004</v>
      </c>
      <c r="I57" s="16"/>
      <c r="J57" s="36">
        <f t="shared" si="0"/>
        <v>0.66800000000000004</v>
      </c>
    </row>
    <row r="58" spans="1:11" s="5" customFormat="1" ht="23.25" customHeight="1" x14ac:dyDescent="0.25">
      <c r="A58" s="23">
        <v>48</v>
      </c>
      <c r="B58" s="49" t="s">
        <v>2713</v>
      </c>
      <c r="C58" s="15" t="s">
        <v>39</v>
      </c>
      <c r="D58" s="7" t="s">
        <v>1567</v>
      </c>
      <c r="E58" s="14" t="s">
        <v>1127</v>
      </c>
      <c r="F58" s="13" t="s">
        <v>1114</v>
      </c>
      <c r="G58" s="16">
        <v>0.66</v>
      </c>
      <c r="H58" s="16">
        <v>0.66</v>
      </c>
      <c r="I58" s="16"/>
      <c r="J58" s="36">
        <f t="shared" si="0"/>
        <v>0.66</v>
      </c>
    </row>
    <row r="59" spans="1:11" s="5" customFormat="1" ht="23.25" customHeight="1" x14ac:dyDescent="0.25">
      <c r="A59" s="23">
        <v>49</v>
      </c>
      <c r="B59" s="49" t="s">
        <v>2714</v>
      </c>
      <c r="C59" s="15" t="s">
        <v>39</v>
      </c>
      <c r="D59" s="7" t="s">
        <v>1566</v>
      </c>
      <c r="E59" s="14" t="s">
        <v>1127</v>
      </c>
      <c r="F59" s="13" t="s">
        <v>1114</v>
      </c>
      <c r="G59" s="16">
        <v>1.1659999999999999</v>
      </c>
      <c r="H59" s="16">
        <v>1.1659999999999999</v>
      </c>
      <c r="I59" s="16"/>
      <c r="J59" s="36">
        <f t="shared" si="0"/>
        <v>1.1659999999999999</v>
      </c>
    </row>
    <row r="60" spans="1:11" s="5" customFormat="1" ht="23.25" customHeight="1" x14ac:dyDescent="0.25">
      <c r="A60" s="23">
        <v>50</v>
      </c>
      <c r="B60" s="49" t="s">
        <v>2715</v>
      </c>
      <c r="C60" s="15" t="s">
        <v>39</v>
      </c>
      <c r="D60" s="7" t="s">
        <v>1565</v>
      </c>
      <c r="E60" s="14" t="s">
        <v>1127</v>
      </c>
      <c r="F60" s="13" t="s">
        <v>1114</v>
      </c>
      <c r="G60" s="16">
        <v>0.18</v>
      </c>
      <c r="H60" s="16">
        <v>0.18</v>
      </c>
      <c r="I60" s="16"/>
      <c r="J60" s="36">
        <f t="shared" si="0"/>
        <v>0.18</v>
      </c>
    </row>
    <row r="61" spans="1:11" s="5" customFormat="1" ht="23.25" customHeight="1" x14ac:dyDescent="0.25">
      <c r="A61" s="23">
        <v>51</v>
      </c>
      <c r="B61" s="49" t="s">
        <v>2716</v>
      </c>
      <c r="C61" s="15" t="s">
        <v>39</v>
      </c>
      <c r="D61" s="7" t="s">
        <v>1564</v>
      </c>
      <c r="E61" s="14" t="s">
        <v>1127</v>
      </c>
      <c r="F61" s="13" t="s">
        <v>1114</v>
      </c>
      <c r="G61" s="16">
        <v>0.93300000000000005</v>
      </c>
      <c r="H61" s="16">
        <v>0.93300000000000005</v>
      </c>
      <c r="I61" s="16">
        <v>0.182</v>
      </c>
      <c r="J61" s="36">
        <f t="shared" si="0"/>
        <v>1.115</v>
      </c>
    </row>
    <row r="62" spans="1:11" s="5" customFormat="1" ht="30" customHeight="1" x14ac:dyDescent="0.25">
      <c r="A62" s="23">
        <v>52</v>
      </c>
      <c r="B62" s="49" t="s">
        <v>2717</v>
      </c>
      <c r="C62" s="15" t="s">
        <v>39</v>
      </c>
      <c r="D62" s="7" t="s">
        <v>1563</v>
      </c>
      <c r="E62" s="14" t="s">
        <v>1127</v>
      </c>
      <c r="F62" s="13" t="s">
        <v>1114</v>
      </c>
      <c r="G62" s="16">
        <v>1.2669999999999999</v>
      </c>
      <c r="H62" s="16">
        <v>1.2669999999999999</v>
      </c>
      <c r="I62" s="16"/>
      <c r="J62" s="36">
        <f t="shared" si="0"/>
        <v>1.2669999999999999</v>
      </c>
    </row>
    <row r="63" spans="1:11" s="5" customFormat="1" ht="29.25" customHeight="1" x14ac:dyDescent="0.25">
      <c r="A63" s="23">
        <v>53</v>
      </c>
      <c r="B63" s="49" t="s">
        <v>2718</v>
      </c>
      <c r="C63" s="15" t="s">
        <v>39</v>
      </c>
      <c r="D63" s="7" t="s">
        <v>1562</v>
      </c>
      <c r="E63" s="14" t="s">
        <v>1127</v>
      </c>
      <c r="F63" s="13" t="s">
        <v>1114</v>
      </c>
      <c r="G63" s="16">
        <v>0.82499999999999996</v>
      </c>
      <c r="H63" s="16">
        <v>0.82499999999999996</v>
      </c>
      <c r="I63" s="16"/>
      <c r="J63" s="36">
        <f t="shared" si="0"/>
        <v>0.82499999999999996</v>
      </c>
    </row>
    <row r="64" spans="1:11" s="5" customFormat="1" ht="23.25" customHeight="1" x14ac:dyDescent="0.25">
      <c r="A64" s="23">
        <v>54</v>
      </c>
      <c r="B64" s="49" t="s">
        <v>2719</v>
      </c>
      <c r="C64" s="15" t="s">
        <v>39</v>
      </c>
      <c r="D64" s="7" t="s">
        <v>1561</v>
      </c>
      <c r="E64" s="14" t="s">
        <v>1127</v>
      </c>
      <c r="F64" s="13" t="s">
        <v>1114</v>
      </c>
      <c r="G64" s="16">
        <v>0.66600000000000004</v>
      </c>
      <c r="H64" s="16">
        <v>0.66600000000000004</v>
      </c>
      <c r="I64" s="16"/>
      <c r="J64" s="36">
        <f t="shared" si="0"/>
        <v>0.66600000000000004</v>
      </c>
    </row>
    <row r="65" spans="1:10" s="5" customFormat="1" ht="23.25" customHeight="1" x14ac:dyDescent="0.25">
      <c r="A65" s="23">
        <v>55</v>
      </c>
      <c r="B65" s="49" t="s">
        <v>2720</v>
      </c>
      <c r="C65" s="15" t="s">
        <v>976</v>
      </c>
      <c r="D65" s="7" t="s">
        <v>1560</v>
      </c>
      <c r="E65" s="14" t="s">
        <v>1127</v>
      </c>
      <c r="F65" s="13" t="s">
        <v>1114</v>
      </c>
      <c r="G65" s="16">
        <v>0.39100000000000001</v>
      </c>
      <c r="H65" s="16">
        <v>0.39100000000000001</v>
      </c>
      <c r="I65" s="16"/>
      <c r="J65" s="36">
        <f t="shared" si="0"/>
        <v>0.39100000000000001</v>
      </c>
    </row>
    <row r="66" spans="1:10" s="5" customFormat="1" ht="23.25" customHeight="1" x14ac:dyDescent="0.25">
      <c r="A66" s="23">
        <v>56</v>
      </c>
      <c r="B66" s="49" t="s">
        <v>2721</v>
      </c>
      <c r="C66" s="15" t="s">
        <v>976</v>
      </c>
      <c r="D66" s="7" t="s">
        <v>1559</v>
      </c>
      <c r="E66" s="14" t="s">
        <v>1127</v>
      </c>
      <c r="F66" s="13" t="s">
        <v>1114</v>
      </c>
      <c r="G66" s="16">
        <v>0.10299999999999999</v>
      </c>
      <c r="H66" s="16">
        <v>0.10299999999999999</v>
      </c>
      <c r="I66" s="16"/>
      <c r="J66" s="36">
        <f t="shared" si="0"/>
        <v>0.10299999999999999</v>
      </c>
    </row>
    <row r="67" spans="1:10" s="5" customFormat="1" ht="23.25" customHeight="1" x14ac:dyDescent="0.25">
      <c r="A67" s="23">
        <v>57</v>
      </c>
      <c r="B67" s="49" t="s">
        <v>2722</v>
      </c>
      <c r="C67" s="15" t="s">
        <v>976</v>
      </c>
      <c r="D67" s="7" t="s">
        <v>1558</v>
      </c>
      <c r="E67" s="14" t="s">
        <v>1127</v>
      </c>
      <c r="F67" s="13" t="s">
        <v>1114</v>
      </c>
      <c r="G67" s="16">
        <v>0.378</v>
      </c>
      <c r="H67" s="16">
        <v>0.378</v>
      </c>
      <c r="I67" s="16"/>
      <c r="J67" s="36">
        <f t="shared" si="0"/>
        <v>0.378</v>
      </c>
    </row>
    <row r="68" spans="1:10" s="5" customFormat="1" ht="31.5" customHeight="1" x14ac:dyDescent="0.25">
      <c r="A68" s="23">
        <v>58</v>
      </c>
      <c r="B68" s="49" t="s">
        <v>2723</v>
      </c>
      <c r="C68" s="15" t="s">
        <v>976</v>
      </c>
      <c r="D68" s="7" t="s">
        <v>1557</v>
      </c>
      <c r="E68" s="14" t="s">
        <v>1127</v>
      </c>
      <c r="F68" s="13" t="s">
        <v>1114</v>
      </c>
      <c r="G68" s="16">
        <v>0.19800000000000001</v>
      </c>
      <c r="H68" s="16">
        <v>0.19800000000000001</v>
      </c>
      <c r="I68" s="16"/>
      <c r="J68" s="36">
        <f t="shared" si="0"/>
        <v>0.19800000000000001</v>
      </c>
    </row>
    <row r="69" spans="1:10" s="5" customFormat="1" ht="34.5" customHeight="1" x14ac:dyDescent="0.25">
      <c r="A69" s="23">
        <v>59</v>
      </c>
      <c r="B69" s="49" t="s">
        <v>2724</v>
      </c>
      <c r="C69" s="15" t="s">
        <v>976</v>
      </c>
      <c r="D69" s="7" t="s">
        <v>1556</v>
      </c>
      <c r="E69" s="14" t="s">
        <v>1127</v>
      </c>
      <c r="F69" s="13" t="s">
        <v>1114</v>
      </c>
      <c r="G69" s="16">
        <v>0.109</v>
      </c>
      <c r="H69" s="16">
        <v>0.109</v>
      </c>
      <c r="I69" s="16"/>
      <c r="J69" s="36">
        <f t="shared" si="0"/>
        <v>0.109</v>
      </c>
    </row>
    <row r="70" spans="1:10" s="5" customFormat="1" ht="23.25" customHeight="1" x14ac:dyDescent="0.25">
      <c r="A70" s="23">
        <v>60</v>
      </c>
      <c r="B70" s="49" t="s">
        <v>2725</v>
      </c>
      <c r="C70" s="15" t="s">
        <v>39</v>
      </c>
      <c r="D70" s="7" t="s">
        <v>1555</v>
      </c>
      <c r="E70" s="14" t="s">
        <v>1127</v>
      </c>
      <c r="F70" s="13" t="s">
        <v>1114</v>
      </c>
      <c r="G70" s="16">
        <v>2.4279999999999999</v>
      </c>
      <c r="H70" s="16">
        <v>2.4279999999999999</v>
      </c>
      <c r="I70" s="16"/>
      <c r="J70" s="36">
        <f t="shared" si="0"/>
        <v>2.4279999999999999</v>
      </c>
    </row>
    <row r="71" spans="1:10" s="5" customFormat="1" ht="23.25" customHeight="1" x14ac:dyDescent="0.25">
      <c r="A71" s="23">
        <v>61</v>
      </c>
      <c r="B71" s="49" t="s">
        <v>2726</v>
      </c>
      <c r="C71" s="15" t="s">
        <v>39</v>
      </c>
      <c r="D71" s="7" t="s">
        <v>1554</v>
      </c>
      <c r="E71" s="14" t="s">
        <v>1127</v>
      </c>
      <c r="F71" s="13" t="s">
        <v>1114</v>
      </c>
      <c r="G71" s="16">
        <v>0.53700000000000003</v>
      </c>
      <c r="H71" s="16">
        <v>0.53700000000000003</v>
      </c>
      <c r="I71" s="16"/>
      <c r="J71" s="36">
        <f t="shared" si="0"/>
        <v>0.53700000000000003</v>
      </c>
    </row>
    <row r="72" spans="1:10" s="5" customFormat="1" ht="23.25" customHeight="1" x14ac:dyDescent="0.25">
      <c r="A72" s="23">
        <v>62</v>
      </c>
      <c r="B72" s="49" t="s">
        <v>2727</v>
      </c>
      <c r="C72" s="15" t="s">
        <v>39</v>
      </c>
      <c r="D72" s="7" t="s">
        <v>1553</v>
      </c>
      <c r="E72" s="14" t="s">
        <v>1127</v>
      </c>
      <c r="F72" s="13" t="s">
        <v>1114</v>
      </c>
      <c r="G72" s="16">
        <v>0.35499999999999998</v>
      </c>
      <c r="H72" s="16">
        <v>0.35499999999999998</v>
      </c>
      <c r="I72" s="16"/>
      <c r="J72" s="36">
        <f t="shared" si="0"/>
        <v>0.35499999999999998</v>
      </c>
    </row>
    <row r="73" spans="1:10" s="5" customFormat="1" ht="23.25" customHeight="1" x14ac:dyDescent="0.25">
      <c r="A73" s="23">
        <v>63</v>
      </c>
      <c r="B73" s="49" t="s">
        <v>2728</v>
      </c>
      <c r="C73" s="15" t="s">
        <v>1509</v>
      </c>
      <c r="D73" s="7" t="s">
        <v>1552</v>
      </c>
      <c r="E73" s="14" t="s">
        <v>1127</v>
      </c>
      <c r="F73" s="13" t="s">
        <v>1114</v>
      </c>
      <c r="G73" s="16">
        <v>0.73299999999999998</v>
      </c>
      <c r="H73" s="16">
        <v>0.73299999999999998</v>
      </c>
      <c r="I73" s="16"/>
      <c r="J73" s="36">
        <f t="shared" si="0"/>
        <v>0.73299999999999998</v>
      </c>
    </row>
    <row r="74" spans="1:10" s="5" customFormat="1" ht="23.25" customHeight="1" x14ac:dyDescent="0.25">
      <c r="A74" s="23">
        <v>64</v>
      </c>
      <c r="B74" s="49" t="s">
        <v>2729</v>
      </c>
      <c r="C74" s="15" t="s">
        <v>39</v>
      </c>
      <c r="D74" s="7" t="s">
        <v>1551</v>
      </c>
      <c r="E74" s="14" t="s">
        <v>1127</v>
      </c>
      <c r="F74" s="13" t="s">
        <v>1114</v>
      </c>
      <c r="G74" s="16">
        <v>0.74399999999999999</v>
      </c>
      <c r="H74" s="16">
        <v>0.74399999999999999</v>
      </c>
      <c r="I74" s="16"/>
      <c r="J74" s="36">
        <f t="shared" si="0"/>
        <v>0.74399999999999999</v>
      </c>
    </row>
    <row r="75" spans="1:10" s="5" customFormat="1" ht="23.25" customHeight="1" x14ac:dyDescent="0.25">
      <c r="A75" s="23">
        <v>65</v>
      </c>
      <c r="B75" s="49" t="s">
        <v>2730</v>
      </c>
      <c r="C75" s="15" t="s">
        <v>976</v>
      </c>
      <c r="D75" s="7" t="s">
        <v>1550</v>
      </c>
      <c r="E75" s="14" t="s">
        <v>1127</v>
      </c>
      <c r="F75" s="13" t="s">
        <v>1114</v>
      </c>
      <c r="G75" s="16">
        <v>0.2</v>
      </c>
      <c r="H75" s="16">
        <v>0.2</v>
      </c>
      <c r="I75" s="16"/>
      <c r="J75" s="36">
        <f t="shared" ref="J75:J138" si="1">G75+I75</f>
        <v>0.2</v>
      </c>
    </row>
    <row r="76" spans="1:10" s="5" customFormat="1" ht="23.25" customHeight="1" x14ac:dyDescent="0.25">
      <c r="A76" s="23">
        <v>66</v>
      </c>
      <c r="B76" s="49" t="s">
        <v>2731</v>
      </c>
      <c r="C76" s="15" t="s">
        <v>39</v>
      </c>
      <c r="D76" s="7" t="s">
        <v>1549</v>
      </c>
      <c r="E76" s="14" t="s">
        <v>1127</v>
      </c>
      <c r="F76" s="13" t="s">
        <v>1114</v>
      </c>
      <c r="G76" s="16">
        <v>0.84399999999999997</v>
      </c>
      <c r="H76" s="16">
        <v>0.84399999999999997</v>
      </c>
      <c r="I76" s="16"/>
      <c r="J76" s="36">
        <f t="shared" si="1"/>
        <v>0.84399999999999997</v>
      </c>
    </row>
    <row r="77" spans="1:10" s="5" customFormat="1" ht="33.75" customHeight="1" x14ac:dyDescent="0.25">
      <c r="A77" s="23">
        <v>67</v>
      </c>
      <c r="B77" s="49" t="s">
        <v>2732</v>
      </c>
      <c r="C77" s="15" t="s">
        <v>39</v>
      </c>
      <c r="D77" s="7" t="s">
        <v>1548</v>
      </c>
      <c r="E77" s="14" t="s">
        <v>1127</v>
      </c>
      <c r="F77" s="13" t="s">
        <v>1114</v>
      </c>
      <c r="G77" s="16">
        <v>1.036</v>
      </c>
      <c r="H77" s="16">
        <v>1.036</v>
      </c>
      <c r="I77" s="16">
        <v>0.29499999999999998</v>
      </c>
      <c r="J77" s="36">
        <f t="shared" si="1"/>
        <v>1.331</v>
      </c>
    </row>
    <row r="78" spans="1:10" s="5" customFormat="1" ht="23.25" customHeight="1" x14ac:dyDescent="0.25">
      <c r="A78" s="23">
        <v>68</v>
      </c>
      <c r="B78" s="49" t="s">
        <v>2733</v>
      </c>
      <c r="C78" s="15" t="s">
        <v>39</v>
      </c>
      <c r="D78" s="7" t="s">
        <v>1547</v>
      </c>
      <c r="E78" s="14" t="s">
        <v>1127</v>
      </c>
      <c r="F78" s="13" t="s">
        <v>1114</v>
      </c>
      <c r="G78" s="16">
        <v>0.54</v>
      </c>
      <c r="H78" s="16">
        <v>0.54</v>
      </c>
      <c r="I78" s="16"/>
      <c r="J78" s="36">
        <f t="shared" si="1"/>
        <v>0.54</v>
      </c>
    </row>
    <row r="79" spans="1:10" s="5" customFormat="1" ht="31.5" customHeight="1" x14ac:dyDescent="0.25">
      <c r="A79" s="23">
        <v>69</v>
      </c>
      <c r="B79" s="49" t="s">
        <v>2734</v>
      </c>
      <c r="C79" s="15" t="s">
        <v>39</v>
      </c>
      <c r="D79" s="7" t="s">
        <v>1546</v>
      </c>
      <c r="E79" s="14" t="s">
        <v>1127</v>
      </c>
      <c r="F79" s="13" t="s">
        <v>1114</v>
      </c>
      <c r="G79" s="16"/>
      <c r="H79" s="16"/>
      <c r="I79" s="16">
        <v>1.0249999999999999</v>
      </c>
      <c r="J79" s="36">
        <f t="shared" si="1"/>
        <v>1.0249999999999999</v>
      </c>
    </row>
    <row r="80" spans="1:10" s="5" customFormat="1" ht="23.25" customHeight="1" x14ac:dyDescent="0.25">
      <c r="A80" s="23">
        <v>70</v>
      </c>
      <c r="B80" s="49" t="s">
        <v>2735</v>
      </c>
      <c r="C80" s="15" t="s">
        <v>39</v>
      </c>
      <c r="D80" s="7" t="s">
        <v>1545</v>
      </c>
      <c r="E80" s="14" t="s">
        <v>1127</v>
      </c>
      <c r="F80" s="13" t="s">
        <v>1114</v>
      </c>
      <c r="G80" s="16">
        <v>0.44</v>
      </c>
      <c r="H80" s="16">
        <v>0.23100000000000001</v>
      </c>
      <c r="I80" s="16">
        <v>0.59099999999999997</v>
      </c>
      <c r="J80" s="36">
        <f t="shared" si="1"/>
        <v>1.0309999999999999</v>
      </c>
    </row>
    <row r="81" spans="1:10" s="5" customFormat="1" ht="23.25" customHeight="1" x14ac:dyDescent="0.25">
      <c r="A81" s="23">
        <v>71</v>
      </c>
      <c r="B81" s="49" t="s">
        <v>2736</v>
      </c>
      <c r="C81" s="15" t="s">
        <v>39</v>
      </c>
      <c r="D81" s="7" t="s">
        <v>1544</v>
      </c>
      <c r="E81" s="14" t="s">
        <v>1127</v>
      </c>
      <c r="F81" s="13" t="s">
        <v>1114</v>
      </c>
      <c r="G81" s="16">
        <v>3.6419999999999999</v>
      </c>
      <c r="H81" s="16">
        <v>3.6419999999999999</v>
      </c>
      <c r="I81" s="16">
        <v>0.77100000000000002</v>
      </c>
      <c r="J81" s="36">
        <f t="shared" si="1"/>
        <v>4.4130000000000003</v>
      </c>
    </row>
    <row r="82" spans="1:10" s="5" customFormat="1" ht="23.25" customHeight="1" x14ac:dyDescent="0.25">
      <c r="A82" s="23">
        <v>72</v>
      </c>
      <c r="B82" s="49" t="s">
        <v>2737</v>
      </c>
      <c r="C82" s="15" t="s">
        <v>39</v>
      </c>
      <c r="D82" s="7" t="s">
        <v>1543</v>
      </c>
      <c r="E82" s="14" t="s">
        <v>1127</v>
      </c>
      <c r="F82" s="13" t="s">
        <v>1114</v>
      </c>
      <c r="G82" s="16">
        <v>1.19</v>
      </c>
      <c r="H82" s="16">
        <v>1.19</v>
      </c>
      <c r="I82" s="16"/>
      <c r="J82" s="36">
        <f t="shared" si="1"/>
        <v>1.19</v>
      </c>
    </row>
    <row r="83" spans="1:10" s="5" customFormat="1" ht="23.25" customHeight="1" x14ac:dyDescent="0.25">
      <c r="A83" s="23">
        <v>73</v>
      </c>
      <c r="B83" s="49" t="s">
        <v>2738</v>
      </c>
      <c r="C83" s="15" t="s">
        <v>39</v>
      </c>
      <c r="D83" s="7" t="s">
        <v>1542</v>
      </c>
      <c r="E83" s="14" t="s">
        <v>1127</v>
      </c>
      <c r="F83" s="13" t="s">
        <v>1114</v>
      </c>
      <c r="G83" s="16">
        <v>0.61099999999999999</v>
      </c>
      <c r="H83" s="16">
        <v>0.61099999999999999</v>
      </c>
      <c r="I83" s="16">
        <v>0.60799999999999998</v>
      </c>
      <c r="J83" s="36">
        <f t="shared" si="1"/>
        <v>1.2189999999999999</v>
      </c>
    </row>
    <row r="84" spans="1:10" s="5" customFormat="1" ht="23.25" customHeight="1" x14ac:dyDescent="0.25">
      <c r="A84" s="23">
        <v>74</v>
      </c>
      <c r="B84" s="49" t="s">
        <v>2739</v>
      </c>
      <c r="C84" s="15" t="s">
        <v>39</v>
      </c>
      <c r="D84" s="7" t="s">
        <v>1541</v>
      </c>
      <c r="E84" s="14" t="s">
        <v>1127</v>
      </c>
      <c r="F84" s="13" t="s">
        <v>1114</v>
      </c>
      <c r="G84" s="16">
        <v>0.81299999999999994</v>
      </c>
      <c r="H84" s="16">
        <v>0.81299999999999994</v>
      </c>
      <c r="I84" s="16">
        <v>0.309</v>
      </c>
      <c r="J84" s="36">
        <f t="shared" si="1"/>
        <v>1.1219999999999999</v>
      </c>
    </row>
    <row r="85" spans="1:10" s="5" customFormat="1" ht="23.25" customHeight="1" x14ac:dyDescent="0.25">
      <c r="A85" s="23">
        <v>75</v>
      </c>
      <c r="B85" s="49" t="s">
        <v>2740</v>
      </c>
      <c r="C85" s="15" t="s">
        <v>1509</v>
      </c>
      <c r="D85" s="7" t="s">
        <v>1540</v>
      </c>
      <c r="E85" s="14" t="s">
        <v>1127</v>
      </c>
      <c r="F85" s="13" t="s">
        <v>1114</v>
      </c>
      <c r="G85" s="16">
        <v>0.21199999999999999</v>
      </c>
      <c r="H85" s="16">
        <v>0.21199999999999999</v>
      </c>
      <c r="I85" s="16"/>
      <c r="J85" s="36">
        <f t="shared" si="1"/>
        <v>0.21199999999999999</v>
      </c>
    </row>
    <row r="86" spans="1:10" s="5" customFormat="1" ht="23.25" customHeight="1" x14ac:dyDescent="0.25">
      <c r="A86" s="23">
        <v>76</v>
      </c>
      <c r="B86" s="49" t="s">
        <v>2741</v>
      </c>
      <c r="C86" s="15" t="s">
        <v>39</v>
      </c>
      <c r="D86" s="7" t="s">
        <v>1539</v>
      </c>
      <c r="E86" s="14" t="s">
        <v>1127</v>
      </c>
      <c r="F86" s="13" t="s">
        <v>1114</v>
      </c>
      <c r="G86" s="16">
        <v>0.41399999999999998</v>
      </c>
      <c r="H86" s="16">
        <v>0.41399999999999998</v>
      </c>
      <c r="I86" s="16"/>
      <c r="J86" s="36">
        <f t="shared" si="1"/>
        <v>0.41399999999999998</v>
      </c>
    </row>
    <row r="87" spans="1:10" s="5" customFormat="1" ht="23.25" customHeight="1" x14ac:dyDescent="0.25">
      <c r="A87" s="23">
        <v>77</v>
      </c>
      <c r="B87" s="49" t="s">
        <v>2742</v>
      </c>
      <c r="C87" s="15" t="s">
        <v>39</v>
      </c>
      <c r="D87" s="7" t="s">
        <v>1538</v>
      </c>
      <c r="E87" s="14" t="s">
        <v>1127</v>
      </c>
      <c r="F87" s="13" t="s">
        <v>1114</v>
      </c>
      <c r="G87" s="16">
        <v>0.24399999999999999</v>
      </c>
      <c r="H87" s="16">
        <v>0.24399999999999999</v>
      </c>
      <c r="I87" s="16">
        <v>0.44</v>
      </c>
      <c r="J87" s="36">
        <f t="shared" si="1"/>
        <v>0.68399999999999994</v>
      </c>
    </row>
    <row r="88" spans="1:10" s="5" customFormat="1" ht="23.25" customHeight="1" x14ac:dyDescent="0.25">
      <c r="A88" s="23">
        <v>78</v>
      </c>
      <c r="B88" s="49" t="s">
        <v>2743</v>
      </c>
      <c r="C88" s="15" t="s">
        <v>39</v>
      </c>
      <c r="D88" s="7" t="s">
        <v>1537</v>
      </c>
      <c r="E88" s="14" t="s">
        <v>1127</v>
      </c>
      <c r="F88" s="13" t="s">
        <v>1114</v>
      </c>
      <c r="G88" s="16">
        <v>0.69599999999999995</v>
      </c>
      <c r="H88" s="16">
        <v>0.69599999999999995</v>
      </c>
      <c r="I88" s="16"/>
      <c r="J88" s="36">
        <f t="shared" si="1"/>
        <v>0.69599999999999995</v>
      </c>
    </row>
    <row r="89" spans="1:10" s="5" customFormat="1" ht="23.25" customHeight="1" x14ac:dyDescent="0.25">
      <c r="A89" s="23">
        <v>79</v>
      </c>
      <c r="B89" s="49" t="s">
        <v>2744</v>
      </c>
      <c r="C89" s="15" t="s">
        <v>39</v>
      </c>
      <c r="D89" s="7" t="s">
        <v>1536</v>
      </c>
      <c r="E89" s="14" t="s">
        <v>1127</v>
      </c>
      <c r="F89" s="13" t="s">
        <v>1114</v>
      </c>
      <c r="G89" s="16">
        <v>0.76200000000000001</v>
      </c>
      <c r="H89" s="16">
        <v>0.76200000000000001</v>
      </c>
      <c r="I89" s="16"/>
      <c r="J89" s="36">
        <f t="shared" si="1"/>
        <v>0.76200000000000001</v>
      </c>
    </row>
    <row r="90" spans="1:10" s="5" customFormat="1" ht="23.25" customHeight="1" x14ac:dyDescent="0.25">
      <c r="A90" s="23">
        <v>80</v>
      </c>
      <c r="B90" s="49" t="s">
        <v>2745</v>
      </c>
      <c r="C90" s="15" t="s">
        <v>39</v>
      </c>
      <c r="D90" s="7" t="s">
        <v>1535</v>
      </c>
      <c r="E90" s="14" t="s">
        <v>1127</v>
      </c>
      <c r="F90" s="13" t="s">
        <v>1114</v>
      </c>
      <c r="G90" s="16">
        <v>0.79800000000000004</v>
      </c>
      <c r="H90" s="16">
        <v>0.79800000000000004</v>
      </c>
      <c r="I90" s="16">
        <v>0.23599999999999999</v>
      </c>
      <c r="J90" s="36">
        <f t="shared" si="1"/>
        <v>1.034</v>
      </c>
    </row>
    <row r="91" spans="1:10" s="5" customFormat="1" ht="23.25" customHeight="1" x14ac:dyDescent="0.25">
      <c r="A91" s="23">
        <v>81</v>
      </c>
      <c r="B91" s="49" t="s">
        <v>2746</v>
      </c>
      <c r="C91" s="15" t="s">
        <v>39</v>
      </c>
      <c r="D91" s="7" t="s">
        <v>1534</v>
      </c>
      <c r="E91" s="14" t="s">
        <v>1127</v>
      </c>
      <c r="F91" s="13" t="s">
        <v>1114</v>
      </c>
      <c r="G91" s="16">
        <v>1</v>
      </c>
      <c r="H91" s="16">
        <v>1</v>
      </c>
      <c r="I91" s="16"/>
      <c r="J91" s="36">
        <f t="shared" si="1"/>
        <v>1</v>
      </c>
    </row>
    <row r="92" spans="1:10" s="5" customFormat="1" ht="23.25" customHeight="1" x14ac:dyDescent="0.25">
      <c r="A92" s="23">
        <v>82</v>
      </c>
      <c r="B92" s="49" t="s">
        <v>2747</v>
      </c>
      <c r="C92" s="15" t="s">
        <v>976</v>
      </c>
      <c r="D92" s="7" t="s">
        <v>1533</v>
      </c>
      <c r="E92" s="14" t="s">
        <v>1127</v>
      </c>
      <c r="F92" s="13" t="s">
        <v>1114</v>
      </c>
      <c r="G92" s="16">
        <v>0.42799999999999999</v>
      </c>
      <c r="H92" s="16">
        <v>0.42799999999999999</v>
      </c>
      <c r="I92" s="16"/>
      <c r="J92" s="36">
        <f t="shared" si="1"/>
        <v>0.42799999999999999</v>
      </c>
    </row>
    <row r="93" spans="1:10" s="5" customFormat="1" ht="23.25" customHeight="1" x14ac:dyDescent="0.25">
      <c r="A93" s="23">
        <v>83</v>
      </c>
      <c r="B93" s="49" t="s">
        <v>2748</v>
      </c>
      <c r="C93" s="15" t="s">
        <v>39</v>
      </c>
      <c r="D93" s="7" t="s">
        <v>1532</v>
      </c>
      <c r="E93" s="14" t="s">
        <v>1127</v>
      </c>
      <c r="F93" s="13" t="s">
        <v>1114</v>
      </c>
      <c r="G93" s="16">
        <v>1.4279999999999999</v>
      </c>
      <c r="H93" s="16">
        <v>1.4279999999999999</v>
      </c>
      <c r="I93" s="16"/>
      <c r="J93" s="36">
        <f t="shared" si="1"/>
        <v>1.4279999999999999</v>
      </c>
    </row>
    <row r="94" spans="1:10" s="5" customFormat="1" ht="33" customHeight="1" x14ac:dyDescent="0.25">
      <c r="A94" s="23">
        <v>84</v>
      </c>
      <c r="B94" s="49" t="s">
        <v>2749</v>
      </c>
      <c r="C94" s="15" t="s">
        <v>976</v>
      </c>
      <c r="D94" s="7" t="s">
        <v>1531</v>
      </c>
      <c r="E94" s="14" t="s">
        <v>1127</v>
      </c>
      <c r="F94" s="13" t="s">
        <v>1114</v>
      </c>
      <c r="G94" s="16">
        <v>0.13</v>
      </c>
      <c r="H94" s="16">
        <v>0.13</v>
      </c>
      <c r="I94" s="16"/>
      <c r="J94" s="36">
        <f t="shared" si="1"/>
        <v>0.13</v>
      </c>
    </row>
    <row r="95" spans="1:10" s="5" customFormat="1" ht="23.25" customHeight="1" x14ac:dyDescent="0.25">
      <c r="A95" s="23">
        <v>85</v>
      </c>
      <c r="B95" s="49" t="s">
        <v>2750</v>
      </c>
      <c r="C95" s="15" t="s">
        <v>39</v>
      </c>
      <c r="D95" s="7" t="s">
        <v>1530</v>
      </c>
      <c r="E95" s="14" t="s">
        <v>1127</v>
      </c>
      <c r="F95" s="13" t="s">
        <v>1114</v>
      </c>
      <c r="G95" s="16">
        <v>0.46100000000000002</v>
      </c>
      <c r="H95" s="16">
        <v>0.46100000000000002</v>
      </c>
      <c r="I95" s="16"/>
      <c r="J95" s="36">
        <f t="shared" si="1"/>
        <v>0.46100000000000002</v>
      </c>
    </row>
    <row r="96" spans="1:10" s="5" customFormat="1" ht="23.25" customHeight="1" x14ac:dyDescent="0.25">
      <c r="A96" s="23">
        <v>86</v>
      </c>
      <c r="B96" s="49" t="s">
        <v>2751</v>
      </c>
      <c r="C96" s="15" t="s">
        <v>39</v>
      </c>
      <c r="D96" s="7" t="s">
        <v>1529</v>
      </c>
      <c r="E96" s="14" t="s">
        <v>1127</v>
      </c>
      <c r="F96" s="13" t="s">
        <v>1114</v>
      </c>
      <c r="G96" s="16">
        <v>0.81699999999999995</v>
      </c>
      <c r="H96" s="16">
        <v>0.81699999999999995</v>
      </c>
      <c r="I96" s="16"/>
      <c r="J96" s="36">
        <f t="shared" si="1"/>
        <v>0.81699999999999995</v>
      </c>
    </row>
    <row r="97" spans="1:11" s="5" customFormat="1" ht="33.75" customHeight="1" x14ac:dyDescent="0.25">
      <c r="A97" s="23">
        <v>87</v>
      </c>
      <c r="B97" s="49" t="s">
        <v>2752</v>
      </c>
      <c r="C97" s="15" t="s">
        <v>39</v>
      </c>
      <c r="D97" s="7" t="s">
        <v>1528</v>
      </c>
      <c r="E97" s="14" t="s">
        <v>1127</v>
      </c>
      <c r="F97" s="13" t="s">
        <v>1114</v>
      </c>
      <c r="G97" s="16">
        <v>0.46899999999999997</v>
      </c>
      <c r="H97" s="16">
        <v>0.46899999999999997</v>
      </c>
      <c r="I97" s="16">
        <v>0.27800000000000002</v>
      </c>
      <c r="J97" s="36">
        <f t="shared" si="1"/>
        <v>0.747</v>
      </c>
    </row>
    <row r="98" spans="1:11" s="5" customFormat="1" ht="23.25" customHeight="1" x14ac:dyDescent="0.25">
      <c r="A98" s="23">
        <v>88</v>
      </c>
      <c r="B98" s="49" t="s">
        <v>2753</v>
      </c>
      <c r="C98" s="15" t="s">
        <v>39</v>
      </c>
      <c r="D98" s="7" t="s">
        <v>1527</v>
      </c>
      <c r="E98" s="14" t="s">
        <v>1127</v>
      </c>
      <c r="F98" s="13" t="s">
        <v>1114</v>
      </c>
      <c r="G98" s="16">
        <v>0.5</v>
      </c>
      <c r="H98" s="16">
        <v>0.5</v>
      </c>
      <c r="I98" s="16"/>
      <c r="J98" s="36">
        <f t="shared" si="1"/>
        <v>0.5</v>
      </c>
    </row>
    <row r="99" spans="1:11" s="5" customFormat="1" ht="23.25" customHeight="1" x14ac:dyDescent="0.25">
      <c r="A99" s="23">
        <v>89</v>
      </c>
      <c r="B99" s="49" t="s">
        <v>2754</v>
      </c>
      <c r="C99" s="15" t="s">
        <v>39</v>
      </c>
      <c r="D99" s="7" t="s">
        <v>1526</v>
      </c>
      <c r="E99" s="14" t="s">
        <v>1127</v>
      </c>
      <c r="F99" s="13" t="s">
        <v>1114</v>
      </c>
      <c r="G99" s="16">
        <v>0.48599999999999999</v>
      </c>
      <c r="H99" s="16">
        <v>0.48599999999999999</v>
      </c>
      <c r="I99" s="16">
        <v>0.24399999999999999</v>
      </c>
      <c r="J99" s="36">
        <f t="shared" si="1"/>
        <v>0.73</v>
      </c>
    </row>
    <row r="100" spans="1:11" s="5" customFormat="1" ht="23.25" customHeight="1" x14ac:dyDescent="0.25">
      <c r="A100" s="23">
        <v>90</v>
      </c>
      <c r="B100" s="49" t="s">
        <v>2755</v>
      </c>
      <c r="C100" s="15" t="s">
        <v>39</v>
      </c>
      <c r="D100" s="7" t="s">
        <v>1525</v>
      </c>
      <c r="E100" s="14" t="s">
        <v>1127</v>
      </c>
      <c r="F100" s="13" t="s">
        <v>1114</v>
      </c>
      <c r="G100" s="16">
        <v>1.677</v>
      </c>
      <c r="H100" s="16">
        <v>1.677</v>
      </c>
      <c r="I100" s="16">
        <v>0.14399999999999999</v>
      </c>
      <c r="J100" s="36">
        <f t="shared" si="1"/>
        <v>1.821</v>
      </c>
    </row>
    <row r="101" spans="1:11" s="5" customFormat="1" ht="23.25" customHeight="1" x14ac:dyDescent="0.25">
      <c r="A101" s="23">
        <v>91</v>
      </c>
      <c r="B101" s="49" t="s">
        <v>2756</v>
      </c>
      <c r="C101" s="15" t="s">
        <v>39</v>
      </c>
      <c r="D101" s="7" t="s">
        <v>1524</v>
      </c>
      <c r="E101" s="14" t="s">
        <v>1127</v>
      </c>
      <c r="F101" s="13" t="s">
        <v>1114</v>
      </c>
      <c r="G101" s="16">
        <v>0.76400000000000001</v>
      </c>
      <c r="H101" s="16">
        <v>0.76400000000000001</v>
      </c>
      <c r="I101" s="16">
        <v>0.13700000000000001</v>
      </c>
      <c r="J101" s="36">
        <f t="shared" si="1"/>
        <v>0.90100000000000002</v>
      </c>
    </row>
    <row r="102" spans="1:11" s="5" customFormat="1" ht="23.25" customHeight="1" x14ac:dyDescent="0.25">
      <c r="A102" s="23">
        <v>92</v>
      </c>
      <c r="B102" s="49" t="s">
        <v>2757</v>
      </c>
      <c r="C102" s="15" t="s">
        <v>39</v>
      </c>
      <c r="D102" s="7" t="s">
        <v>1523</v>
      </c>
      <c r="E102" s="14" t="s">
        <v>1127</v>
      </c>
      <c r="F102" s="13" t="s">
        <v>1114</v>
      </c>
      <c r="G102" s="16">
        <v>0.64800000000000002</v>
      </c>
      <c r="H102" s="16">
        <v>0.64800000000000002</v>
      </c>
      <c r="I102" s="16"/>
      <c r="J102" s="36">
        <f t="shared" si="1"/>
        <v>0.64800000000000002</v>
      </c>
    </row>
    <row r="103" spans="1:11" s="5" customFormat="1" ht="34.5" customHeight="1" x14ac:dyDescent="0.25">
      <c r="A103" s="23">
        <v>93</v>
      </c>
      <c r="B103" s="49" t="s">
        <v>2758</v>
      </c>
      <c r="C103" s="15" t="s">
        <v>976</v>
      </c>
      <c r="D103" s="7" t="s">
        <v>1522</v>
      </c>
      <c r="E103" s="14" t="s">
        <v>1127</v>
      </c>
      <c r="F103" s="13" t="s">
        <v>1114</v>
      </c>
      <c r="G103" s="16">
        <v>0.747</v>
      </c>
      <c r="H103" s="16">
        <v>0.747</v>
      </c>
      <c r="I103" s="16"/>
      <c r="J103" s="36">
        <f t="shared" si="1"/>
        <v>0.747</v>
      </c>
      <c r="K103" s="12"/>
    </row>
    <row r="104" spans="1:11" s="5" customFormat="1" ht="31.5" x14ac:dyDescent="0.25">
      <c r="A104" s="23">
        <v>94</v>
      </c>
      <c r="B104" s="49" t="s">
        <v>2759</v>
      </c>
      <c r="C104" s="15" t="s">
        <v>976</v>
      </c>
      <c r="D104" s="7" t="s">
        <v>1521</v>
      </c>
      <c r="E104" s="14" t="s">
        <v>1127</v>
      </c>
      <c r="F104" s="13" t="s">
        <v>1114</v>
      </c>
      <c r="G104" s="16"/>
      <c r="H104" s="16"/>
      <c r="I104" s="16">
        <v>0.254</v>
      </c>
      <c r="J104" s="36">
        <f t="shared" si="1"/>
        <v>0.254</v>
      </c>
    </row>
    <row r="105" spans="1:11" s="5" customFormat="1" ht="31.5" x14ac:dyDescent="0.25">
      <c r="A105" s="23">
        <v>95</v>
      </c>
      <c r="B105" s="49" t="s">
        <v>2760</v>
      </c>
      <c r="C105" s="15" t="s">
        <v>976</v>
      </c>
      <c r="D105" s="7" t="s">
        <v>1520</v>
      </c>
      <c r="E105" s="14" t="s">
        <v>1127</v>
      </c>
      <c r="F105" s="13" t="s">
        <v>1114</v>
      </c>
      <c r="G105" s="16"/>
      <c r="H105" s="16"/>
      <c r="I105" s="16">
        <v>0.45900000000000002</v>
      </c>
      <c r="J105" s="36">
        <f t="shared" si="1"/>
        <v>0.45900000000000002</v>
      </c>
    </row>
    <row r="106" spans="1:11" s="5" customFormat="1" ht="31.5" x14ac:dyDescent="0.25">
      <c r="A106" s="23">
        <v>96</v>
      </c>
      <c r="B106" s="49" t="s">
        <v>2761</v>
      </c>
      <c r="C106" s="15" t="s">
        <v>976</v>
      </c>
      <c r="D106" s="7" t="s">
        <v>1519</v>
      </c>
      <c r="E106" s="14" t="s">
        <v>1127</v>
      </c>
      <c r="F106" s="13" t="s">
        <v>1114</v>
      </c>
      <c r="G106" s="16"/>
      <c r="H106" s="16"/>
      <c r="I106" s="16">
        <v>0.25</v>
      </c>
      <c r="J106" s="36">
        <f t="shared" si="1"/>
        <v>0.25</v>
      </c>
    </row>
    <row r="107" spans="1:11" s="5" customFormat="1" ht="23.25" customHeight="1" x14ac:dyDescent="0.25">
      <c r="A107" s="23">
        <v>97</v>
      </c>
      <c r="B107" s="49" t="s">
        <v>2762</v>
      </c>
      <c r="C107" s="15" t="s">
        <v>976</v>
      </c>
      <c r="D107" s="7" t="s">
        <v>1518</v>
      </c>
      <c r="E107" s="14" t="s">
        <v>1127</v>
      </c>
      <c r="F107" s="13" t="s">
        <v>1114</v>
      </c>
      <c r="G107" s="16"/>
      <c r="H107" s="16"/>
      <c r="I107" s="16">
        <v>0.2</v>
      </c>
      <c r="J107" s="36">
        <f t="shared" si="1"/>
        <v>0.2</v>
      </c>
    </row>
    <row r="108" spans="1:11" s="5" customFormat="1" ht="23.25" customHeight="1" x14ac:dyDescent="0.25">
      <c r="A108" s="23">
        <v>98</v>
      </c>
      <c r="B108" s="49" t="s">
        <v>2763</v>
      </c>
      <c r="C108" s="15" t="s">
        <v>976</v>
      </c>
      <c r="D108" s="7" t="s">
        <v>1517</v>
      </c>
      <c r="E108" s="14" t="s">
        <v>1127</v>
      </c>
      <c r="F108" s="13" t="s">
        <v>1114</v>
      </c>
      <c r="G108" s="16"/>
      <c r="H108" s="16"/>
      <c r="I108" s="16">
        <v>0.17899999999999999</v>
      </c>
      <c r="J108" s="36">
        <f t="shared" si="1"/>
        <v>0.17899999999999999</v>
      </c>
    </row>
    <row r="109" spans="1:11" s="5" customFormat="1" ht="23.25" customHeight="1" x14ac:dyDescent="0.25">
      <c r="A109" s="23">
        <v>99</v>
      </c>
      <c r="B109" s="49" t="s">
        <v>2764</v>
      </c>
      <c r="C109" s="15" t="s">
        <v>976</v>
      </c>
      <c r="D109" s="7" t="s">
        <v>1516</v>
      </c>
      <c r="E109" s="14" t="s">
        <v>1127</v>
      </c>
      <c r="F109" s="13" t="s">
        <v>1114</v>
      </c>
      <c r="G109" s="16"/>
      <c r="H109" s="16"/>
      <c r="I109" s="16">
        <v>0.36099999999999999</v>
      </c>
      <c r="J109" s="36">
        <f t="shared" si="1"/>
        <v>0.36099999999999999</v>
      </c>
    </row>
    <row r="110" spans="1:11" s="5" customFormat="1" ht="23.25" customHeight="1" x14ac:dyDescent="0.25">
      <c r="A110" s="23">
        <v>100</v>
      </c>
      <c r="B110" s="49" t="s">
        <v>2765</v>
      </c>
      <c r="C110" s="15" t="s">
        <v>39</v>
      </c>
      <c r="D110" s="7" t="s">
        <v>1515</v>
      </c>
      <c r="E110" s="14" t="s">
        <v>1127</v>
      </c>
      <c r="F110" s="13" t="s">
        <v>1114</v>
      </c>
      <c r="G110" s="16"/>
      <c r="H110" s="16"/>
      <c r="I110" s="16">
        <v>1.631</v>
      </c>
      <c r="J110" s="36">
        <f t="shared" si="1"/>
        <v>1.631</v>
      </c>
    </row>
    <row r="111" spans="1:11" s="5" customFormat="1" ht="23.25" customHeight="1" x14ac:dyDescent="0.25">
      <c r="A111" s="23">
        <v>101</v>
      </c>
      <c r="B111" s="49" t="s">
        <v>2766</v>
      </c>
      <c r="C111" s="15" t="s">
        <v>976</v>
      </c>
      <c r="D111" s="7" t="s">
        <v>1514</v>
      </c>
      <c r="E111" s="14" t="s">
        <v>1127</v>
      </c>
      <c r="F111" s="13" t="s">
        <v>1114</v>
      </c>
      <c r="G111" s="16"/>
      <c r="H111" s="16"/>
      <c r="I111" s="16">
        <v>0.13</v>
      </c>
      <c r="J111" s="36">
        <f t="shared" si="1"/>
        <v>0.13</v>
      </c>
    </row>
    <row r="112" spans="1:11" s="5" customFormat="1" ht="23.25" customHeight="1" x14ac:dyDescent="0.25">
      <c r="A112" s="23">
        <v>102</v>
      </c>
      <c r="B112" s="49" t="s">
        <v>2767</v>
      </c>
      <c r="C112" s="15" t="s">
        <v>976</v>
      </c>
      <c r="D112" s="7" t="s">
        <v>1513</v>
      </c>
      <c r="E112" s="14" t="s">
        <v>1127</v>
      </c>
      <c r="F112" s="13" t="s">
        <v>1114</v>
      </c>
      <c r="G112" s="16"/>
      <c r="H112" s="16"/>
      <c r="I112" s="16">
        <v>0.16500000000000001</v>
      </c>
      <c r="J112" s="36">
        <f t="shared" si="1"/>
        <v>0.16500000000000001</v>
      </c>
    </row>
    <row r="113" spans="1:10" s="5" customFormat="1" ht="23.25" customHeight="1" x14ac:dyDescent="0.25">
      <c r="A113" s="23">
        <v>103</v>
      </c>
      <c r="B113" s="49" t="s">
        <v>2768</v>
      </c>
      <c r="C113" s="15" t="s">
        <v>976</v>
      </c>
      <c r="D113" s="7" t="s">
        <v>1512</v>
      </c>
      <c r="E113" s="14" t="s">
        <v>1127</v>
      </c>
      <c r="F113" s="13" t="s">
        <v>1114</v>
      </c>
      <c r="G113" s="16"/>
      <c r="H113" s="16"/>
      <c r="I113" s="16">
        <v>0.41599999999999998</v>
      </c>
      <c r="J113" s="36">
        <f t="shared" si="1"/>
        <v>0.41599999999999998</v>
      </c>
    </row>
    <row r="114" spans="1:10" s="5" customFormat="1" ht="23.25" customHeight="1" x14ac:dyDescent="0.25">
      <c r="A114" s="23">
        <v>104</v>
      </c>
      <c r="B114" s="49" t="s">
        <v>2769</v>
      </c>
      <c r="C114" s="15" t="s">
        <v>39</v>
      </c>
      <c r="D114" s="7" t="s">
        <v>1511</v>
      </c>
      <c r="E114" s="14" t="s">
        <v>1127</v>
      </c>
      <c r="F114" s="13" t="s">
        <v>1114</v>
      </c>
      <c r="G114" s="16"/>
      <c r="H114" s="16"/>
      <c r="I114" s="16">
        <v>0.32500000000000001</v>
      </c>
      <c r="J114" s="36">
        <f t="shared" si="1"/>
        <v>0.32500000000000001</v>
      </c>
    </row>
    <row r="115" spans="1:10" s="5" customFormat="1" ht="29.25" customHeight="1" x14ac:dyDescent="0.25">
      <c r="A115" s="23">
        <v>105</v>
      </c>
      <c r="B115" s="49" t="s">
        <v>2770</v>
      </c>
      <c r="C115" s="15" t="s">
        <v>976</v>
      </c>
      <c r="D115" s="7" t="s">
        <v>1510</v>
      </c>
      <c r="E115" s="14" t="s">
        <v>1127</v>
      </c>
      <c r="F115" s="13" t="s">
        <v>1114</v>
      </c>
      <c r="G115" s="16"/>
      <c r="H115" s="16"/>
      <c r="I115" s="16">
        <v>0.248</v>
      </c>
      <c r="J115" s="36">
        <f t="shared" si="1"/>
        <v>0.248</v>
      </c>
    </row>
    <row r="116" spans="1:10" s="5" customFormat="1" ht="23.25" customHeight="1" x14ac:dyDescent="0.25">
      <c r="A116" s="23">
        <v>106</v>
      </c>
      <c r="B116" s="49" t="s">
        <v>2771</v>
      </c>
      <c r="C116" s="15" t="s">
        <v>1509</v>
      </c>
      <c r="D116" s="7" t="s">
        <v>1508</v>
      </c>
      <c r="E116" s="14" t="s">
        <v>1127</v>
      </c>
      <c r="F116" s="13" t="s">
        <v>1114</v>
      </c>
      <c r="G116" s="16"/>
      <c r="H116" s="16"/>
      <c r="I116" s="16">
        <v>0.98199999999999998</v>
      </c>
      <c r="J116" s="36">
        <f t="shared" si="1"/>
        <v>0.98199999999999998</v>
      </c>
    </row>
    <row r="117" spans="1:10" s="5" customFormat="1" ht="23.25" customHeight="1" x14ac:dyDescent="0.25">
      <c r="A117" s="23">
        <v>107</v>
      </c>
      <c r="B117" s="49" t="s">
        <v>2772</v>
      </c>
      <c r="C117" s="15" t="s">
        <v>976</v>
      </c>
      <c r="D117" s="7" t="s">
        <v>1507</v>
      </c>
      <c r="E117" s="14" t="s">
        <v>1127</v>
      </c>
      <c r="F117" s="13" t="s">
        <v>1114</v>
      </c>
      <c r="G117" s="16"/>
      <c r="H117" s="16"/>
      <c r="I117" s="16">
        <v>0.77700000000000002</v>
      </c>
      <c r="J117" s="36">
        <f t="shared" si="1"/>
        <v>0.77700000000000002</v>
      </c>
    </row>
    <row r="118" spans="1:10" s="5" customFormat="1" ht="23.25" customHeight="1" x14ac:dyDescent="0.25">
      <c r="A118" s="23">
        <v>108</v>
      </c>
      <c r="B118" s="49" t="s">
        <v>2773</v>
      </c>
      <c r="C118" s="15" t="s">
        <v>39</v>
      </c>
      <c r="D118" s="7" t="s">
        <v>1506</v>
      </c>
      <c r="E118" s="14" t="s">
        <v>1127</v>
      </c>
      <c r="F118" s="13" t="s">
        <v>1114</v>
      </c>
      <c r="G118" s="16"/>
      <c r="H118" s="16"/>
      <c r="I118" s="16">
        <v>0.57299999999999995</v>
      </c>
      <c r="J118" s="36">
        <f t="shared" si="1"/>
        <v>0.57299999999999995</v>
      </c>
    </row>
    <row r="119" spans="1:10" s="5" customFormat="1" ht="23.25" customHeight="1" x14ac:dyDescent="0.25">
      <c r="A119" s="23">
        <v>109</v>
      </c>
      <c r="B119" s="49" t="s">
        <v>2774</v>
      </c>
      <c r="C119" s="15" t="s">
        <v>976</v>
      </c>
      <c r="D119" s="7" t="s">
        <v>1505</v>
      </c>
      <c r="E119" s="14" t="s">
        <v>1127</v>
      </c>
      <c r="F119" s="13" t="s">
        <v>1114</v>
      </c>
      <c r="G119" s="16"/>
      <c r="H119" s="16"/>
      <c r="I119" s="16">
        <v>0.31900000000000001</v>
      </c>
      <c r="J119" s="36">
        <f t="shared" si="1"/>
        <v>0.31900000000000001</v>
      </c>
    </row>
    <row r="120" spans="1:10" s="5" customFormat="1" ht="23.25" customHeight="1" x14ac:dyDescent="0.25">
      <c r="A120" s="23">
        <v>110</v>
      </c>
      <c r="B120" s="49" t="s">
        <v>2775</v>
      </c>
      <c r="C120" s="15" t="s">
        <v>976</v>
      </c>
      <c r="D120" s="7" t="s">
        <v>1504</v>
      </c>
      <c r="E120" s="14" t="s">
        <v>1127</v>
      </c>
      <c r="F120" s="13" t="s">
        <v>1114</v>
      </c>
      <c r="G120" s="16"/>
      <c r="H120" s="16"/>
      <c r="I120" s="16">
        <v>0.36399999999999999</v>
      </c>
      <c r="J120" s="36">
        <f t="shared" si="1"/>
        <v>0.36399999999999999</v>
      </c>
    </row>
    <row r="121" spans="1:10" s="5" customFormat="1" ht="23.25" customHeight="1" x14ac:dyDescent="0.25">
      <c r="A121" s="23">
        <v>111</v>
      </c>
      <c r="B121" s="49" t="s">
        <v>2776</v>
      </c>
      <c r="C121" s="15" t="s">
        <v>39</v>
      </c>
      <c r="D121" s="7" t="s">
        <v>1503</v>
      </c>
      <c r="E121" s="14" t="s">
        <v>1127</v>
      </c>
      <c r="F121" s="13" t="s">
        <v>1114</v>
      </c>
      <c r="G121" s="16"/>
      <c r="H121" s="16"/>
      <c r="I121" s="16">
        <v>0.80800000000000005</v>
      </c>
      <c r="J121" s="36">
        <f t="shared" si="1"/>
        <v>0.80800000000000005</v>
      </c>
    </row>
    <row r="122" spans="1:10" ht="23.25" customHeight="1" x14ac:dyDescent="0.25">
      <c r="A122" s="23">
        <v>112</v>
      </c>
      <c r="B122" s="49" t="s">
        <v>2777</v>
      </c>
      <c r="C122" s="15" t="s">
        <v>976</v>
      </c>
      <c r="D122" s="7" t="s">
        <v>1502</v>
      </c>
      <c r="E122" s="14" t="s">
        <v>1127</v>
      </c>
      <c r="F122" s="13" t="s">
        <v>1114</v>
      </c>
      <c r="G122" s="16"/>
      <c r="H122" s="16"/>
      <c r="I122" s="16">
        <v>0.59399999999999997</v>
      </c>
      <c r="J122" s="36">
        <f t="shared" si="1"/>
        <v>0.59399999999999997</v>
      </c>
    </row>
    <row r="123" spans="1:10" ht="23.25" customHeight="1" x14ac:dyDescent="0.25">
      <c r="A123" s="23">
        <v>113</v>
      </c>
      <c r="B123" s="49" t="s">
        <v>2778</v>
      </c>
      <c r="C123" s="15" t="s">
        <v>976</v>
      </c>
      <c r="D123" s="7" t="s">
        <v>1501</v>
      </c>
      <c r="E123" s="14" t="s">
        <v>1127</v>
      </c>
      <c r="F123" s="13" t="s">
        <v>1114</v>
      </c>
      <c r="G123" s="16"/>
      <c r="H123" s="16"/>
      <c r="I123" s="16">
        <v>0.35499999999999998</v>
      </c>
      <c r="J123" s="36">
        <f t="shared" si="1"/>
        <v>0.35499999999999998</v>
      </c>
    </row>
    <row r="124" spans="1:10" ht="23.25" customHeight="1" x14ac:dyDescent="0.25">
      <c r="A124" s="23">
        <v>114</v>
      </c>
      <c r="B124" s="49" t="s">
        <v>2779</v>
      </c>
      <c r="C124" s="15" t="s">
        <v>976</v>
      </c>
      <c r="D124" s="7" t="s">
        <v>1500</v>
      </c>
      <c r="E124" s="14" t="s">
        <v>1127</v>
      </c>
      <c r="F124" s="13" t="s">
        <v>1114</v>
      </c>
      <c r="G124" s="16"/>
      <c r="H124" s="16"/>
      <c r="I124" s="16">
        <v>0.35099999999999998</v>
      </c>
      <c r="J124" s="36">
        <f t="shared" si="1"/>
        <v>0.35099999999999998</v>
      </c>
    </row>
    <row r="125" spans="1:10" ht="23.25" customHeight="1" x14ac:dyDescent="0.25">
      <c r="A125" s="23">
        <v>115</v>
      </c>
      <c r="B125" s="49" t="s">
        <v>2780</v>
      </c>
      <c r="C125" s="15" t="s">
        <v>39</v>
      </c>
      <c r="D125" s="7" t="s">
        <v>1499</v>
      </c>
      <c r="E125" s="14" t="s">
        <v>1127</v>
      </c>
      <c r="F125" s="13" t="s">
        <v>1114</v>
      </c>
      <c r="G125" s="16"/>
      <c r="H125" s="16"/>
      <c r="I125" s="16">
        <v>1.6970000000000001</v>
      </c>
      <c r="J125" s="36">
        <f t="shared" si="1"/>
        <v>1.6970000000000001</v>
      </c>
    </row>
    <row r="126" spans="1:10" ht="23.25" customHeight="1" x14ac:dyDescent="0.25">
      <c r="A126" s="23">
        <v>116</v>
      </c>
      <c r="B126" s="49" t="s">
        <v>2781</v>
      </c>
      <c r="C126" s="15" t="s">
        <v>976</v>
      </c>
      <c r="D126" s="7" t="s">
        <v>1498</v>
      </c>
      <c r="E126" s="14" t="s">
        <v>1127</v>
      </c>
      <c r="F126" s="13" t="s">
        <v>1114</v>
      </c>
      <c r="G126" s="16"/>
      <c r="H126" s="16"/>
      <c r="I126" s="16">
        <v>0.26900000000000002</v>
      </c>
      <c r="J126" s="36">
        <f t="shared" si="1"/>
        <v>0.26900000000000002</v>
      </c>
    </row>
    <row r="127" spans="1:10" ht="23.25" customHeight="1" x14ac:dyDescent="0.25">
      <c r="A127" s="23">
        <v>117</v>
      </c>
      <c r="B127" s="49" t="s">
        <v>2782</v>
      </c>
      <c r="C127" s="15" t="s">
        <v>976</v>
      </c>
      <c r="D127" s="7" t="s">
        <v>1497</v>
      </c>
      <c r="E127" s="14" t="s">
        <v>1127</v>
      </c>
      <c r="F127" s="13" t="s">
        <v>1114</v>
      </c>
      <c r="G127" s="16"/>
      <c r="H127" s="16"/>
      <c r="I127" s="16">
        <v>0.191</v>
      </c>
      <c r="J127" s="36">
        <f t="shared" si="1"/>
        <v>0.191</v>
      </c>
    </row>
    <row r="128" spans="1:10" ht="23.25" customHeight="1" x14ac:dyDescent="0.25">
      <c r="A128" s="23">
        <v>118</v>
      </c>
      <c r="B128" s="49" t="s">
        <v>2783</v>
      </c>
      <c r="C128" s="15" t="s">
        <v>39</v>
      </c>
      <c r="D128" s="7" t="s">
        <v>1496</v>
      </c>
      <c r="E128" s="14" t="s">
        <v>1127</v>
      </c>
      <c r="F128" s="13" t="s">
        <v>1114</v>
      </c>
      <c r="G128" s="16"/>
      <c r="H128" s="16"/>
      <c r="I128" s="16">
        <v>0.47299999999999998</v>
      </c>
      <c r="J128" s="36">
        <f t="shared" si="1"/>
        <v>0.47299999999999998</v>
      </c>
    </row>
    <row r="129" spans="1:10" ht="23.25" customHeight="1" x14ac:dyDescent="0.25">
      <c r="A129" s="23">
        <v>119</v>
      </c>
      <c r="B129" s="49" t="s">
        <v>2784</v>
      </c>
      <c r="C129" s="15" t="s">
        <v>39</v>
      </c>
      <c r="D129" s="7" t="s">
        <v>1495</v>
      </c>
      <c r="E129" s="14" t="s">
        <v>1127</v>
      </c>
      <c r="F129" s="13" t="s">
        <v>1114</v>
      </c>
      <c r="G129" s="16"/>
      <c r="H129" s="16"/>
      <c r="I129" s="16">
        <v>0.21099999999999999</v>
      </c>
      <c r="J129" s="36">
        <f t="shared" si="1"/>
        <v>0.21099999999999999</v>
      </c>
    </row>
    <row r="130" spans="1:10" ht="23.25" customHeight="1" x14ac:dyDescent="0.25">
      <c r="A130" s="23">
        <v>120</v>
      </c>
      <c r="B130" s="49" t="s">
        <v>2785</v>
      </c>
      <c r="C130" s="15" t="s">
        <v>39</v>
      </c>
      <c r="D130" s="7" t="s">
        <v>1494</v>
      </c>
      <c r="E130" s="14" t="s">
        <v>1127</v>
      </c>
      <c r="F130" s="13" t="s">
        <v>1114</v>
      </c>
      <c r="G130" s="16">
        <v>4.9000000000000002E-2</v>
      </c>
      <c r="H130" s="16">
        <v>4.9000000000000002E-2</v>
      </c>
      <c r="I130" s="16">
        <v>0.46500000000000002</v>
      </c>
      <c r="J130" s="36">
        <f t="shared" si="1"/>
        <v>0.51400000000000001</v>
      </c>
    </row>
    <row r="131" spans="1:10" ht="23.25" customHeight="1" x14ac:dyDescent="0.25">
      <c r="A131" s="23">
        <v>121</v>
      </c>
      <c r="B131" s="49" t="s">
        <v>2786</v>
      </c>
      <c r="C131" s="15" t="s">
        <v>39</v>
      </c>
      <c r="D131" s="7" t="s">
        <v>1493</v>
      </c>
      <c r="E131" s="14" t="s">
        <v>1127</v>
      </c>
      <c r="F131" s="13" t="s">
        <v>1114</v>
      </c>
      <c r="G131" s="16"/>
      <c r="H131" s="16"/>
      <c r="I131" s="16">
        <v>0.6</v>
      </c>
      <c r="J131" s="36">
        <f t="shared" si="1"/>
        <v>0.6</v>
      </c>
    </row>
    <row r="132" spans="1:10" ht="29.25" customHeight="1" x14ac:dyDescent="0.25">
      <c r="A132" s="23">
        <v>122</v>
      </c>
      <c r="B132" s="49" t="s">
        <v>2787</v>
      </c>
      <c r="C132" s="15" t="s">
        <v>39</v>
      </c>
      <c r="D132" s="7" t="s">
        <v>1492</v>
      </c>
      <c r="E132" s="14" t="s">
        <v>1127</v>
      </c>
      <c r="F132" s="13" t="s">
        <v>1114</v>
      </c>
      <c r="G132" s="16"/>
      <c r="H132" s="16"/>
      <c r="I132" s="16">
        <v>0.91300000000000003</v>
      </c>
      <c r="J132" s="36">
        <f t="shared" si="1"/>
        <v>0.91300000000000003</v>
      </c>
    </row>
    <row r="133" spans="1:10" ht="23.25" customHeight="1" x14ac:dyDescent="0.25">
      <c r="A133" s="23">
        <v>123</v>
      </c>
      <c r="B133" s="49" t="s">
        <v>2788</v>
      </c>
      <c r="C133" s="15" t="s">
        <v>39</v>
      </c>
      <c r="D133" s="7" t="s">
        <v>1491</v>
      </c>
      <c r="E133" s="14" t="s">
        <v>1127</v>
      </c>
      <c r="F133" s="13" t="s">
        <v>1114</v>
      </c>
      <c r="G133" s="16"/>
      <c r="H133" s="16"/>
      <c r="I133" s="16">
        <v>0.879</v>
      </c>
      <c r="J133" s="36">
        <f t="shared" si="1"/>
        <v>0.879</v>
      </c>
    </row>
    <row r="134" spans="1:10" ht="23.25" customHeight="1" x14ac:dyDescent="0.25">
      <c r="A134" s="23">
        <v>124</v>
      </c>
      <c r="B134" s="49" t="s">
        <v>2789</v>
      </c>
      <c r="C134" s="15" t="s">
        <v>39</v>
      </c>
      <c r="D134" s="7" t="s">
        <v>1490</v>
      </c>
      <c r="E134" s="14" t="s">
        <v>1127</v>
      </c>
      <c r="F134" s="13" t="s">
        <v>1114</v>
      </c>
      <c r="G134" s="16"/>
      <c r="H134" s="16"/>
      <c r="I134" s="16">
        <v>0.496</v>
      </c>
      <c r="J134" s="36">
        <f t="shared" si="1"/>
        <v>0.496</v>
      </c>
    </row>
    <row r="135" spans="1:10" ht="23.25" customHeight="1" x14ac:dyDescent="0.25">
      <c r="A135" s="23">
        <v>125</v>
      </c>
      <c r="B135" s="49" t="s">
        <v>2790</v>
      </c>
      <c r="C135" s="15" t="s">
        <v>976</v>
      </c>
      <c r="D135" s="7" t="s">
        <v>1489</v>
      </c>
      <c r="E135" s="14" t="s">
        <v>1127</v>
      </c>
      <c r="F135" s="13" t="s">
        <v>1114</v>
      </c>
      <c r="G135" s="16"/>
      <c r="H135" s="16"/>
      <c r="I135" s="16">
        <v>0.2</v>
      </c>
      <c r="J135" s="36">
        <f t="shared" si="1"/>
        <v>0.2</v>
      </c>
    </row>
    <row r="136" spans="1:10" ht="23.25" customHeight="1" x14ac:dyDescent="0.25">
      <c r="A136" s="23">
        <v>126</v>
      </c>
      <c r="B136" s="49" t="s">
        <v>2791</v>
      </c>
      <c r="C136" s="15" t="s">
        <v>976</v>
      </c>
      <c r="D136" s="7" t="s">
        <v>1488</v>
      </c>
      <c r="E136" s="14" t="s">
        <v>1127</v>
      </c>
      <c r="F136" s="13" t="s">
        <v>1114</v>
      </c>
      <c r="G136" s="16"/>
      <c r="H136" s="16"/>
      <c r="I136" s="16">
        <v>0.18</v>
      </c>
      <c r="J136" s="36">
        <f t="shared" si="1"/>
        <v>0.18</v>
      </c>
    </row>
    <row r="137" spans="1:10" ht="23.25" customHeight="1" x14ac:dyDescent="0.25">
      <c r="A137" s="23">
        <v>127</v>
      </c>
      <c r="B137" s="49" t="s">
        <v>2792</v>
      </c>
      <c r="C137" s="15" t="s">
        <v>976</v>
      </c>
      <c r="D137" s="7" t="s">
        <v>1487</v>
      </c>
      <c r="E137" s="14" t="s">
        <v>1127</v>
      </c>
      <c r="F137" s="13" t="s">
        <v>1114</v>
      </c>
      <c r="G137" s="16"/>
      <c r="H137" s="16"/>
      <c r="I137" s="16">
        <v>0.14199999999999999</v>
      </c>
      <c r="J137" s="36">
        <f t="shared" si="1"/>
        <v>0.14199999999999999</v>
      </c>
    </row>
    <row r="138" spans="1:10" ht="23.25" customHeight="1" x14ac:dyDescent="0.25">
      <c r="A138" s="23">
        <v>128</v>
      </c>
      <c r="B138" s="49" t="s">
        <v>2793</v>
      </c>
      <c r="C138" s="15" t="s">
        <v>976</v>
      </c>
      <c r="D138" s="7" t="s">
        <v>1486</v>
      </c>
      <c r="E138" s="14" t="s">
        <v>1127</v>
      </c>
      <c r="F138" s="13" t="s">
        <v>1114</v>
      </c>
      <c r="G138" s="16"/>
      <c r="H138" s="16"/>
      <c r="I138" s="16">
        <v>0.26</v>
      </c>
      <c r="J138" s="36">
        <f t="shared" si="1"/>
        <v>0.26</v>
      </c>
    </row>
    <row r="139" spans="1:10" ht="23.25" customHeight="1" x14ac:dyDescent="0.25">
      <c r="A139" s="23">
        <v>129</v>
      </c>
      <c r="B139" s="49" t="s">
        <v>2794</v>
      </c>
      <c r="C139" s="15" t="s">
        <v>39</v>
      </c>
      <c r="D139" s="7" t="s">
        <v>1485</v>
      </c>
      <c r="E139" s="14" t="s">
        <v>1127</v>
      </c>
      <c r="F139" s="13" t="s">
        <v>1114</v>
      </c>
      <c r="G139" s="16"/>
      <c r="H139" s="16"/>
      <c r="I139" s="16">
        <v>0.56200000000000006</v>
      </c>
      <c r="J139" s="36">
        <f t="shared" ref="J139:J202" si="2">G139+I139</f>
        <v>0.56200000000000006</v>
      </c>
    </row>
    <row r="140" spans="1:10" ht="23.25" customHeight="1" x14ac:dyDescent="0.25">
      <c r="A140" s="23">
        <v>130</v>
      </c>
      <c r="B140" s="49" t="s">
        <v>2795</v>
      </c>
      <c r="C140" s="15" t="s">
        <v>39</v>
      </c>
      <c r="D140" s="7" t="s">
        <v>1484</v>
      </c>
      <c r="E140" s="14" t="s">
        <v>1127</v>
      </c>
      <c r="F140" s="13" t="s">
        <v>1114</v>
      </c>
      <c r="G140" s="16">
        <v>0.56399999999999995</v>
      </c>
      <c r="H140" s="16">
        <v>0.56399999999999995</v>
      </c>
      <c r="I140" s="16"/>
      <c r="J140" s="36">
        <f t="shared" si="2"/>
        <v>0.56399999999999995</v>
      </c>
    </row>
    <row r="141" spans="1:10" ht="23.25" customHeight="1" x14ac:dyDescent="0.25">
      <c r="A141" s="23">
        <v>131</v>
      </c>
      <c r="B141" s="49" t="s">
        <v>2796</v>
      </c>
      <c r="C141" s="15" t="s">
        <v>39</v>
      </c>
      <c r="D141" s="7" t="s">
        <v>1483</v>
      </c>
      <c r="E141" s="14" t="s">
        <v>1127</v>
      </c>
      <c r="F141" s="13" t="s">
        <v>1114</v>
      </c>
      <c r="G141" s="16"/>
      <c r="H141" s="16"/>
      <c r="I141" s="16">
        <v>0.54300000000000004</v>
      </c>
      <c r="J141" s="36">
        <f t="shared" si="2"/>
        <v>0.54300000000000004</v>
      </c>
    </row>
    <row r="142" spans="1:10" ht="23.25" customHeight="1" x14ac:dyDescent="0.25">
      <c r="A142" s="23">
        <v>132</v>
      </c>
      <c r="B142" s="49" t="s">
        <v>2797</v>
      </c>
      <c r="C142" s="15" t="s">
        <v>39</v>
      </c>
      <c r="D142" s="7" t="s">
        <v>1482</v>
      </c>
      <c r="E142" s="14" t="s">
        <v>1127</v>
      </c>
      <c r="F142" s="13" t="s">
        <v>1114</v>
      </c>
      <c r="G142" s="16"/>
      <c r="H142" s="16"/>
      <c r="I142" s="16">
        <v>0.47699999999999998</v>
      </c>
      <c r="J142" s="36">
        <f t="shared" si="2"/>
        <v>0.47699999999999998</v>
      </c>
    </row>
    <row r="143" spans="1:10" ht="23.25" customHeight="1" x14ac:dyDescent="0.25">
      <c r="A143" s="23">
        <v>133</v>
      </c>
      <c r="B143" s="49" t="s">
        <v>2798</v>
      </c>
      <c r="C143" s="15" t="s">
        <v>39</v>
      </c>
      <c r="D143" s="7" t="s">
        <v>1481</v>
      </c>
      <c r="E143" s="14" t="s">
        <v>1127</v>
      </c>
      <c r="F143" s="13" t="s">
        <v>1114</v>
      </c>
      <c r="G143" s="16">
        <v>0.128</v>
      </c>
      <c r="H143" s="16">
        <v>0.128</v>
      </c>
      <c r="I143" s="16">
        <v>0.29199999999999998</v>
      </c>
      <c r="J143" s="36">
        <f t="shared" si="2"/>
        <v>0.42</v>
      </c>
    </row>
    <row r="144" spans="1:10" ht="23.25" customHeight="1" x14ac:dyDescent="0.25">
      <c r="A144" s="23">
        <v>134</v>
      </c>
      <c r="B144" s="49" t="s">
        <v>2799</v>
      </c>
      <c r="C144" s="15" t="s">
        <v>39</v>
      </c>
      <c r="D144" s="7" t="s">
        <v>1480</v>
      </c>
      <c r="E144" s="14" t="s">
        <v>1127</v>
      </c>
      <c r="F144" s="13" t="s">
        <v>1114</v>
      </c>
      <c r="G144" s="16"/>
      <c r="H144" s="16"/>
      <c r="I144" s="16">
        <v>0.36399999999999999</v>
      </c>
      <c r="J144" s="36">
        <f t="shared" si="2"/>
        <v>0.36399999999999999</v>
      </c>
    </row>
    <row r="145" spans="1:10" ht="23.25" customHeight="1" x14ac:dyDescent="0.25">
      <c r="A145" s="23">
        <v>135</v>
      </c>
      <c r="B145" s="49" t="s">
        <v>2800</v>
      </c>
      <c r="C145" s="15" t="s">
        <v>39</v>
      </c>
      <c r="D145" s="7" t="s">
        <v>1479</v>
      </c>
      <c r="E145" s="14" t="s">
        <v>1127</v>
      </c>
      <c r="F145" s="13" t="s">
        <v>1114</v>
      </c>
      <c r="G145" s="16">
        <v>0.32800000000000001</v>
      </c>
      <c r="H145" s="16">
        <v>0.32800000000000001</v>
      </c>
      <c r="I145" s="16"/>
      <c r="J145" s="36">
        <f t="shared" si="2"/>
        <v>0.32800000000000001</v>
      </c>
    </row>
    <row r="146" spans="1:10" ht="23.25" customHeight="1" x14ac:dyDescent="0.25">
      <c r="A146" s="23">
        <v>136</v>
      </c>
      <c r="B146" s="49" t="s">
        <v>2801</v>
      </c>
      <c r="C146" s="15" t="s">
        <v>39</v>
      </c>
      <c r="D146" s="7" t="s">
        <v>1478</v>
      </c>
      <c r="E146" s="14" t="s">
        <v>1127</v>
      </c>
      <c r="F146" s="13" t="s">
        <v>1114</v>
      </c>
      <c r="G146" s="16"/>
      <c r="H146" s="16"/>
      <c r="I146" s="16">
        <v>0.309</v>
      </c>
      <c r="J146" s="36">
        <f t="shared" si="2"/>
        <v>0.309</v>
      </c>
    </row>
    <row r="147" spans="1:10" ht="23.25" customHeight="1" x14ac:dyDescent="0.25">
      <c r="A147" s="23">
        <v>137</v>
      </c>
      <c r="B147" s="49" t="s">
        <v>2802</v>
      </c>
      <c r="C147" s="15" t="s">
        <v>39</v>
      </c>
      <c r="D147" s="7" t="s">
        <v>1477</v>
      </c>
      <c r="E147" s="14" t="s">
        <v>1127</v>
      </c>
      <c r="F147" s="13" t="s">
        <v>1114</v>
      </c>
      <c r="G147" s="16"/>
      <c r="H147" s="16"/>
      <c r="I147" s="16">
        <v>0.317</v>
      </c>
      <c r="J147" s="36">
        <f t="shared" si="2"/>
        <v>0.317</v>
      </c>
    </row>
    <row r="148" spans="1:10" ht="23.25" customHeight="1" x14ac:dyDescent="0.25">
      <c r="A148" s="23">
        <v>138</v>
      </c>
      <c r="B148" s="49" t="s">
        <v>2803</v>
      </c>
      <c r="C148" s="15" t="s">
        <v>39</v>
      </c>
      <c r="D148" s="7" t="s">
        <v>1476</v>
      </c>
      <c r="E148" s="14" t="s">
        <v>1127</v>
      </c>
      <c r="F148" s="13" t="s">
        <v>1114</v>
      </c>
      <c r="G148" s="16">
        <v>1.038</v>
      </c>
      <c r="H148" s="16">
        <v>1.038</v>
      </c>
      <c r="I148" s="16">
        <v>0.47099999999999997</v>
      </c>
      <c r="J148" s="36">
        <f t="shared" si="2"/>
        <v>1.5089999999999999</v>
      </c>
    </row>
    <row r="149" spans="1:10" ht="23.25" customHeight="1" x14ac:dyDescent="0.25">
      <c r="A149" s="23">
        <v>139</v>
      </c>
      <c r="B149" s="49" t="s">
        <v>2804</v>
      </c>
      <c r="C149" s="15" t="s">
        <v>39</v>
      </c>
      <c r="D149" s="7" t="s">
        <v>1475</v>
      </c>
      <c r="E149" s="14" t="s">
        <v>1127</v>
      </c>
      <c r="F149" s="13" t="s">
        <v>1114</v>
      </c>
      <c r="G149" s="16"/>
      <c r="H149" s="16"/>
      <c r="I149" s="16">
        <v>1</v>
      </c>
      <c r="J149" s="36">
        <f t="shared" si="2"/>
        <v>1</v>
      </c>
    </row>
    <row r="150" spans="1:10" ht="30" customHeight="1" x14ac:dyDescent="0.25">
      <c r="A150" s="23">
        <v>140</v>
      </c>
      <c r="B150" s="49" t="s">
        <v>2805</v>
      </c>
      <c r="C150" s="15" t="s">
        <v>39</v>
      </c>
      <c r="D150" s="7" t="s">
        <v>1474</v>
      </c>
      <c r="E150" s="14" t="s">
        <v>1127</v>
      </c>
      <c r="F150" s="13" t="s">
        <v>1114</v>
      </c>
      <c r="G150" s="16"/>
      <c r="H150" s="16"/>
      <c r="I150" s="16">
        <v>1</v>
      </c>
      <c r="J150" s="36">
        <f t="shared" si="2"/>
        <v>1</v>
      </c>
    </row>
    <row r="151" spans="1:10" ht="33.75" customHeight="1" x14ac:dyDescent="0.25">
      <c r="A151" s="23">
        <v>141</v>
      </c>
      <c r="B151" s="49" t="s">
        <v>2806</v>
      </c>
      <c r="C151" s="15" t="s">
        <v>39</v>
      </c>
      <c r="D151" s="7" t="s">
        <v>1473</v>
      </c>
      <c r="E151" s="14" t="s">
        <v>1127</v>
      </c>
      <c r="F151" s="13" t="s">
        <v>1114</v>
      </c>
      <c r="G151" s="16"/>
      <c r="H151" s="16"/>
      <c r="I151" s="16">
        <v>1</v>
      </c>
      <c r="J151" s="36">
        <f t="shared" si="2"/>
        <v>1</v>
      </c>
    </row>
    <row r="152" spans="1:10" ht="23.25" customHeight="1" x14ac:dyDescent="0.25">
      <c r="A152" s="23">
        <v>142</v>
      </c>
      <c r="B152" s="49" t="s">
        <v>2807</v>
      </c>
      <c r="C152" s="15" t="s">
        <v>39</v>
      </c>
      <c r="D152" s="7" t="s">
        <v>1472</v>
      </c>
      <c r="E152" s="14" t="s">
        <v>1127</v>
      </c>
      <c r="F152" s="13" t="s">
        <v>1114</v>
      </c>
      <c r="G152" s="16"/>
      <c r="H152" s="16"/>
      <c r="I152" s="16">
        <v>0.9</v>
      </c>
      <c r="J152" s="36">
        <f t="shared" si="2"/>
        <v>0.9</v>
      </c>
    </row>
    <row r="153" spans="1:10" ht="23.25" customHeight="1" x14ac:dyDescent="0.25">
      <c r="A153" s="23">
        <v>143</v>
      </c>
      <c r="B153" s="49" t="s">
        <v>2808</v>
      </c>
      <c r="C153" s="15" t="s">
        <v>39</v>
      </c>
      <c r="D153" s="7" t="s">
        <v>1471</v>
      </c>
      <c r="E153" s="14" t="s">
        <v>1127</v>
      </c>
      <c r="F153" s="13" t="s">
        <v>1114</v>
      </c>
      <c r="G153" s="16"/>
      <c r="H153" s="16"/>
      <c r="I153" s="16">
        <v>0.93200000000000005</v>
      </c>
      <c r="J153" s="36">
        <f t="shared" si="2"/>
        <v>0.93200000000000005</v>
      </c>
    </row>
    <row r="154" spans="1:10" ht="23.25" customHeight="1" x14ac:dyDescent="0.25">
      <c r="A154" s="23">
        <v>144</v>
      </c>
      <c r="B154" s="49" t="s">
        <v>2809</v>
      </c>
      <c r="C154" s="15" t="s">
        <v>39</v>
      </c>
      <c r="D154" s="7" t="s">
        <v>1470</v>
      </c>
      <c r="E154" s="14" t="s">
        <v>1127</v>
      </c>
      <c r="F154" s="13" t="s">
        <v>1114</v>
      </c>
      <c r="G154" s="16">
        <v>0.25</v>
      </c>
      <c r="H154" s="16">
        <v>0.25</v>
      </c>
      <c r="I154" s="16"/>
      <c r="J154" s="36">
        <f t="shared" si="2"/>
        <v>0.25</v>
      </c>
    </row>
    <row r="155" spans="1:10" ht="23.25" customHeight="1" x14ac:dyDescent="0.25">
      <c r="A155" s="23">
        <v>145</v>
      </c>
      <c r="B155" s="49" t="s">
        <v>2810</v>
      </c>
      <c r="C155" s="15" t="s">
        <v>39</v>
      </c>
      <c r="D155" s="7" t="s">
        <v>1469</v>
      </c>
      <c r="E155" s="14" t="s">
        <v>1127</v>
      </c>
      <c r="F155" s="13" t="s">
        <v>1114</v>
      </c>
      <c r="G155" s="16"/>
      <c r="H155" s="16"/>
      <c r="I155" s="16">
        <v>0.47</v>
      </c>
      <c r="J155" s="36">
        <f t="shared" si="2"/>
        <v>0.47</v>
      </c>
    </row>
    <row r="156" spans="1:10" ht="23.25" customHeight="1" x14ac:dyDescent="0.25">
      <c r="A156" s="23">
        <v>146</v>
      </c>
      <c r="B156" s="49" t="s">
        <v>2811</v>
      </c>
      <c r="C156" s="15" t="s">
        <v>39</v>
      </c>
      <c r="D156" s="7" t="s">
        <v>1468</v>
      </c>
      <c r="E156" s="14" t="s">
        <v>1127</v>
      </c>
      <c r="F156" s="13" t="s">
        <v>1114</v>
      </c>
      <c r="G156" s="16"/>
      <c r="H156" s="16"/>
      <c r="I156" s="16">
        <v>0.74099999999999999</v>
      </c>
      <c r="J156" s="36">
        <f t="shared" si="2"/>
        <v>0.74099999999999999</v>
      </c>
    </row>
    <row r="157" spans="1:10" ht="23.25" customHeight="1" x14ac:dyDescent="0.25">
      <c r="A157" s="23">
        <v>147</v>
      </c>
      <c r="B157" s="49" t="s">
        <v>2812</v>
      </c>
      <c r="C157" s="15" t="s">
        <v>976</v>
      </c>
      <c r="D157" s="7" t="s">
        <v>1467</v>
      </c>
      <c r="E157" s="14" t="s">
        <v>1127</v>
      </c>
      <c r="F157" s="13" t="s">
        <v>1114</v>
      </c>
      <c r="G157" s="16"/>
      <c r="H157" s="16"/>
      <c r="I157" s="16">
        <v>0.72199999999999998</v>
      </c>
      <c r="J157" s="36">
        <f t="shared" si="2"/>
        <v>0.72199999999999998</v>
      </c>
    </row>
    <row r="158" spans="1:10" ht="32.25" customHeight="1" x14ac:dyDescent="0.25">
      <c r="A158" s="23">
        <v>148</v>
      </c>
      <c r="B158" s="49" t="s">
        <v>2813</v>
      </c>
      <c r="C158" s="15" t="s">
        <v>39</v>
      </c>
      <c r="D158" s="7" t="s">
        <v>1466</v>
      </c>
      <c r="E158" s="14" t="s">
        <v>1127</v>
      </c>
      <c r="F158" s="13" t="s">
        <v>1114</v>
      </c>
      <c r="G158" s="16"/>
      <c r="H158" s="16"/>
      <c r="I158" s="16">
        <v>0.54400000000000004</v>
      </c>
      <c r="J158" s="36">
        <f t="shared" si="2"/>
        <v>0.54400000000000004</v>
      </c>
    </row>
    <row r="159" spans="1:10" ht="23.25" customHeight="1" x14ac:dyDescent="0.25">
      <c r="A159" s="23">
        <v>149</v>
      </c>
      <c r="B159" s="49" t="s">
        <v>2814</v>
      </c>
      <c r="C159" s="15" t="s">
        <v>39</v>
      </c>
      <c r="D159" s="7" t="s">
        <v>1465</v>
      </c>
      <c r="E159" s="14" t="s">
        <v>1127</v>
      </c>
      <c r="F159" s="13" t="s">
        <v>1114</v>
      </c>
      <c r="G159" s="16">
        <v>0.74399999999999999</v>
      </c>
      <c r="H159" s="16">
        <v>0.74399999999999999</v>
      </c>
      <c r="I159" s="16"/>
      <c r="J159" s="36">
        <f t="shared" si="2"/>
        <v>0.74399999999999999</v>
      </c>
    </row>
    <row r="160" spans="1:10" ht="31.5" x14ac:dyDescent="0.25">
      <c r="A160" s="23">
        <v>150</v>
      </c>
      <c r="B160" s="49" t="s">
        <v>2815</v>
      </c>
      <c r="C160" s="15" t="s">
        <v>976</v>
      </c>
      <c r="D160" s="7" t="s">
        <v>1464</v>
      </c>
      <c r="E160" s="14" t="s">
        <v>1127</v>
      </c>
      <c r="F160" s="13" t="s">
        <v>1114</v>
      </c>
      <c r="G160" s="16">
        <v>0.34699999999999998</v>
      </c>
      <c r="H160" s="16">
        <v>0.34699999999999998</v>
      </c>
      <c r="I160" s="16"/>
      <c r="J160" s="36">
        <f t="shared" si="2"/>
        <v>0.34699999999999998</v>
      </c>
    </row>
    <row r="161" spans="1:10" ht="31.5" x14ac:dyDescent="0.25">
      <c r="A161" s="23">
        <v>151</v>
      </c>
      <c r="B161" s="49" t="s">
        <v>2816</v>
      </c>
      <c r="C161" s="15" t="s">
        <v>976</v>
      </c>
      <c r="D161" s="7" t="s">
        <v>1463</v>
      </c>
      <c r="E161" s="14" t="s">
        <v>1127</v>
      </c>
      <c r="F161" s="13" t="s">
        <v>1114</v>
      </c>
      <c r="G161" s="16">
        <v>0.44400000000000001</v>
      </c>
      <c r="H161" s="16">
        <v>0.44400000000000001</v>
      </c>
      <c r="I161" s="16"/>
      <c r="J161" s="36">
        <f t="shared" si="2"/>
        <v>0.44400000000000001</v>
      </c>
    </row>
    <row r="162" spans="1:10" ht="23.25" customHeight="1" x14ac:dyDescent="0.25">
      <c r="A162" s="23">
        <v>152</v>
      </c>
      <c r="B162" s="49" t="s">
        <v>2817</v>
      </c>
      <c r="C162" s="15" t="s">
        <v>39</v>
      </c>
      <c r="D162" s="7" t="s">
        <v>1462</v>
      </c>
      <c r="E162" s="14" t="s">
        <v>1127</v>
      </c>
      <c r="F162" s="13" t="s">
        <v>1114</v>
      </c>
      <c r="G162" s="16"/>
      <c r="H162" s="16"/>
      <c r="I162" s="16">
        <v>0.628</v>
      </c>
      <c r="J162" s="36">
        <f t="shared" si="2"/>
        <v>0.628</v>
      </c>
    </row>
    <row r="163" spans="1:10" ht="23.25" customHeight="1" x14ac:dyDescent="0.25">
      <c r="A163" s="23">
        <v>153</v>
      </c>
      <c r="B163" s="49" t="s">
        <v>2818</v>
      </c>
      <c r="C163" s="15" t="s">
        <v>39</v>
      </c>
      <c r="D163" s="7" t="s">
        <v>1461</v>
      </c>
      <c r="E163" s="14" t="s">
        <v>1127</v>
      </c>
      <c r="F163" s="13" t="s">
        <v>1114</v>
      </c>
      <c r="G163" s="16"/>
      <c r="H163" s="16"/>
      <c r="I163" s="16">
        <v>0.60199999999999998</v>
      </c>
      <c r="J163" s="36">
        <f t="shared" si="2"/>
        <v>0.60199999999999998</v>
      </c>
    </row>
    <row r="164" spans="1:10" ht="32.25" customHeight="1" x14ac:dyDescent="0.25">
      <c r="A164" s="23">
        <v>154</v>
      </c>
      <c r="B164" s="49" t="s">
        <v>2819</v>
      </c>
      <c r="C164" s="15" t="s">
        <v>976</v>
      </c>
      <c r="D164" s="7" t="s">
        <v>1460</v>
      </c>
      <c r="E164" s="14" t="s">
        <v>1127</v>
      </c>
      <c r="F164" s="13" t="s">
        <v>1114</v>
      </c>
      <c r="G164" s="16">
        <v>0.28999999999999998</v>
      </c>
      <c r="H164" s="16"/>
      <c r="I164" s="16"/>
      <c r="J164" s="36">
        <f t="shared" si="2"/>
        <v>0.28999999999999998</v>
      </c>
    </row>
    <row r="165" spans="1:10" ht="33.75" customHeight="1" x14ac:dyDescent="0.25">
      <c r="A165" s="23">
        <v>155</v>
      </c>
      <c r="B165" s="49" t="s">
        <v>2820</v>
      </c>
      <c r="C165" s="15" t="s">
        <v>976</v>
      </c>
      <c r="D165" s="7" t="s">
        <v>1459</v>
      </c>
      <c r="E165" s="14" t="s">
        <v>1127</v>
      </c>
      <c r="F165" s="13" t="s">
        <v>1114</v>
      </c>
      <c r="G165" s="16">
        <v>0.16500000000000001</v>
      </c>
      <c r="H165" s="16"/>
      <c r="I165" s="16"/>
      <c r="J165" s="36">
        <f t="shared" si="2"/>
        <v>0.16500000000000001</v>
      </c>
    </row>
    <row r="166" spans="1:10" ht="32.25" customHeight="1" x14ac:dyDescent="0.25">
      <c r="A166" s="23">
        <v>156</v>
      </c>
      <c r="B166" s="49" t="s">
        <v>2821</v>
      </c>
      <c r="C166" s="15" t="s">
        <v>976</v>
      </c>
      <c r="D166" s="7" t="s">
        <v>1458</v>
      </c>
      <c r="E166" s="14" t="s">
        <v>1127</v>
      </c>
      <c r="F166" s="13" t="s">
        <v>1114</v>
      </c>
      <c r="G166" s="16"/>
      <c r="H166" s="16"/>
      <c r="I166" s="16">
        <v>0.247</v>
      </c>
      <c r="J166" s="36">
        <f t="shared" si="2"/>
        <v>0.247</v>
      </c>
    </row>
    <row r="167" spans="1:10" ht="23.25" customHeight="1" x14ac:dyDescent="0.25">
      <c r="A167" s="23">
        <v>157</v>
      </c>
      <c r="B167" s="49" t="s">
        <v>2822</v>
      </c>
      <c r="C167" s="15" t="s">
        <v>976</v>
      </c>
      <c r="D167" s="7" t="s">
        <v>1457</v>
      </c>
      <c r="E167" s="14" t="s">
        <v>1127</v>
      </c>
      <c r="F167" s="13" t="s">
        <v>1114</v>
      </c>
      <c r="G167" s="16"/>
      <c r="H167" s="16"/>
      <c r="I167" s="16">
        <v>0.45200000000000001</v>
      </c>
      <c r="J167" s="36">
        <f t="shared" si="2"/>
        <v>0.45200000000000001</v>
      </c>
    </row>
    <row r="168" spans="1:10" ht="23.25" customHeight="1" x14ac:dyDescent="0.25">
      <c r="A168" s="23">
        <v>158</v>
      </c>
      <c r="B168" s="49" t="s">
        <v>2823</v>
      </c>
      <c r="C168" s="15" t="s">
        <v>976</v>
      </c>
      <c r="D168" s="7" t="s">
        <v>1456</v>
      </c>
      <c r="E168" s="14" t="s">
        <v>1127</v>
      </c>
      <c r="F168" s="13" t="s">
        <v>1114</v>
      </c>
      <c r="G168" s="16">
        <v>0.73099999999999998</v>
      </c>
      <c r="H168" s="16"/>
      <c r="I168" s="16"/>
      <c r="J168" s="36">
        <f t="shared" si="2"/>
        <v>0.73099999999999998</v>
      </c>
    </row>
    <row r="169" spans="1:10" ht="23.25" customHeight="1" x14ac:dyDescent="0.25">
      <c r="A169" s="23">
        <v>159</v>
      </c>
      <c r="B169" s="49" t="s">
        <v>2824</v>
      </c>
      <c r="C169" s="15" t="s">
        <v>976</v>
      </c>
      <c r="D169" s="7" t="s">
        <v>1455</v>
      </c>
      <c r="E169" s="14" t="s">
        <v>1127</v>
      </c>
      <c r="F169" s="13" t="s">
        <v>1114</v>
      </c>
      <c r="G169" s="16">
        <v>0.52800000000000002</v>
      </c>
      <c r="H169" s="16">
        <v>0.52800000000000002</v>
      </c>
      <c r="I169" s="16"/>
      <c r="J169" s="36">
        <f t="shared" si="2"/>
        <v>0.52800000000000002</v>
      </c>
    </row>
    <row r="170" spans="1:10" ht="23.25" customHeight="1" x14ac:dyDescent="0.25">
      <c r="A170" s="23">
        <v>160</v>
      </c>
      <c r="B170" s="49" t="s">
        <v>2825</v>
      </c>
      <c r="C170" s="15" t="s">
        <v>39</v>
      </c>
      <c r="D170" s="7" t="s">
        <v>1454</v>
      </c>
      <c r="E170" s="14" t="s">
        <v>1127</v>
      </c>
      <c r="F170" s="13" t="s">
        <v>1114</v>
      </c>
      <c r="G170" s="16"/>
      <c r="H170" s="16"/>
      <c r="I170" s="16">
        <v>0.42</v>
      </c>
      <c r="J170" s="36">
        <f t="shared" si="2"/>
        <v>0.42</v>
      </c>
    </row>
    <row r="171" spans="1:10" ht="23.25" customHeight="1" x14ac:dyDescent="0.25">
      <c r="A171" s="23">
        <v>161</v>
      </c>
      <c r="B171" s="49" t="s">
        <v>2826</v>
      </c>
      <c r="C171" s="15" t="s">
        <v>39</v>
      </c>
      <c r="D171" s="7" t="s">
        <v>1453</v>
      </c>
      <c r="E171" s="14" t="s">
        <v>1127</v>
      </c>
      <c r="F171" s="13" t="s">
        <v>1114</v>
      </c>
      <c r="G171" s="16"/>
      <c r="H171" s="16"/>
      <c r="I171" s="16">
        <v>0.52400000000000002</v>
      </c>
      <c r="J171" s="36">
        <f t="shared" si="2"/>
        <v>0.52400000000000002</v>
      </c>
    </row>
    <row r="172" spans="1:10" ht="23.25" customHeight="1" x14ac:dyDescent="0.25">
      <c r="A172" s="23">
        <v>162</v>
      </c>
      <c r="B172" s="49" t="s">
        <v>2827</v>
      </c>
      <c r="C172" s="15" t="s">
        <v>39</v>
      </c>
      <c r="D172" s="7" t="s">
        <v>1452</v>
      </c>
      <c r="E172" s="14" t="s">
        <v>1127</v>
      </c>
      <c r="F172" s="13" t="s">
        <v>1114</v>
      </c>
      <c r="G172" s="16"/>
      <c r="H172" s="16"/>
      <c r="I172" s="16">
        <v>0.51</v>
      </c>
      <c r="J172" s="36">
        <f t="shared" si="2"/>
        <v>0.51</v>
      </c>
    </row>
    <row r="173" spans="1:10" ht="23.25" customHeight="1" x14ac:dyDescent="0.25">
      <c r="A173" s="23">
        <v>163</v>
      </c>
      <c r="B173" s="49" t="s">
        <v>2828</v>
      </c>
      <c r="C173" s="15" t="s">
        <v>39</v>
      </c>
      <c r="D173" s="8" t="s">
        <v>1451</v>
      </c>
      <c r="E173" s="14" t="s">
        <v>1127</v>
      </c>
      <c r="F173" s="13" t="s">
        <v>1114</v>
      </c>
      <c r="G173" s="16">
        <v>0.65400000000000003</v>
      </c>
      <c r="H173" s="16"/>
      <c r="I173" s="16">
        <v>4.4999999999999998E-2</v>
      </c>
      <c r="J173" s="36">
        <f t="shared" si="2"/>
        <v>0.69900000000000007</v>
      </c>
    </row>
    <row r="174" spans="1:10" ht="23.25" customHeight="1" x14ac:dyDescent="0.25">
      <c r="A174" s="23">
        <v>164</v>
      </c>
      <c r="B174" s="49" t="s">
        <v>2829</v>
      </c>
      <c r="C174" s="15" t="s">
        <v>39</v>
      </c>
      <c r="D174" s="7" t="s">
        <v>1450</v>
      </c>
      <c r="E174" s="14" t="s">
        <v>1127</v>
      </c>
      <c r="F174" s="13" t="s">
        <v>1114</v>
      </c>
      <c r="G174" s="16"/>
      <c r="H174" s="16"/>
      <c r="I174" s="16">
        <v>0.2</v>
      </c>
      <c r="J174" s="36">
        <f t="shared" si="2"/>
        <v>0.2</v>
      </c>
    </row>
    <row r="175" spans="1:10" ht="23.25" customHeight="1" x14ac:dyDescent="0.25">
      <c r="A175" s="23">
        <v>165</v>
      </c>
      <c r="B175" s="49" t="s">
        <v>2830</v>
      </c>
      <c r="C175" s="15" t="s">
        <v>39</v>
      </c>
      <c r="D175" s="8" t="s">
        <v>1449</v>
      </c>
      <c r="E175" s="14" t="s">
        <v>1127</v>
      </c>
      <c r="F175" s="13" t="s">
        <v>1114</v>
      </c>
      <c r="G175" s="16">
        <v>0.27700000000000002</v>
      </c>
      <c r="H175" s="16"/>
      <c r="I175" s="16">
        <v>0.375</v>
      </c>
      <c r="J175" s="36">
        <f t="shared" si="2"/>
        <v>0.65200000000000002</v>
      </c>
    </row>
    <row r="176" spans="1:10" ht="23.25" customHeight="1" x14ac:dyDescent="0.25">
      <c r="A176" s="23">
        <v>166</v>
      </c>
      <c r="B176" s="49" t="s">
        <v>2831</v>
      </c>
      <c r="C176" s="15" t="s">
        <v>976</v>
      </c>
      <c r="D176" s="7" t="s">
        <v>1448</v>
      </c>
      <c r="E176" s="14" t="s">
        <v>1127</v>
      </c>
      <c r="F176" s="13" t="s">
        <v>1114</v>
      </c>
      <c r="G176" s="16"/>
      <c r="H176" s="16"/>
      <c r="I176" s="16">
        <v>0.34</v>
      </c>
      <c r="J176" s="36">
        <f t="shared" si="2"/>
        <v>0.34</v>
      </c>
    </row>
    <row r="177" spans="1:11" ht="23.25" customHeight="1" x14ac:dyDescent="0.25">
      <c r="A177" s="23">
        <v>167</v>
      </c>
      <c r="B177" s="49" t="s">
        <v>2832</v>
      </c>
      <c r="C177" s="15" t="s">
        <v>39</v>
      </c>
      <c r="D177" s="7" t="s">
        <v>1447</v>
      </c>
      <c r="E177" s="14" t="s">
        <v>1127</v>
      </c>
      <c r="F177" s="13" t="s">
        <v>1114</v>
      </c>
      <c r="G177" s="16"/>
      <c r="H177" s="16"/>
      <c r="I177" s="16">
        <v>0.35099999999999998</v>
      </c>
      <c r="J177" s="36">
        <f t="shared" si="2"/>
        <v>0.35099999999999998</v>
      </c>
    </row>
    <row r="178" spans="1:11" ht="23.25" customHeight="1" x14ac:dyDescent="0.25">
      <c r="A178" s="23">
        <v>168</v>
      </c>
      <c r="B178" s="49" t="s">
        <v>2833</v>
      </c>
      <c r="C178" s="15" t="s">
        <v>39</v>
      </c>
      <c r="D178" s="7" t="s">
        <v>1446</v>
      </c>
      <c r="E178" s="14" t="s">
        <v>1127</v>
      </c>
      <c r="F178" s="13" t="s">
        <v>1114</v>
      </c>
      <c r="G178" s="16"/>
      <c r="H178" s="16"/>
      <c r="I178" s="16">
        <v>0.92700000000000005</v>
      </c>
      <c r="J178" s="36">
        <f t="shared" si="2"/>
        <v>0.92700000000000005</v>
      </c>
    </row>
    <row r="179" spans="1:11" ht="23.25" customHeight="1" x14ac:dyDescent="0.25">
      <c r="A179" s="23">
        <v>169</v>
      </c>
      <c r="B179" s="49" t="s">
        <v>2834</v>
      </c>
      <c r="C179" s="15" t="s">
        <v>976</v>
      </c>
      <c r="D179" s="7" t="s">
        <v>1445</v>
      </c>
      <c r="E179" s="14" t="s">
        <v>1127</v>
      </c>
      <c r="F179" s="13" t="s">
        <v>1114</v>
      </c>
      <c r="G179" s="16"/>
      <c r="H179" s="16"/>
      <c r="I179" s="16">
        <v>0.51100000000000001</v>
      </c>
      <c r="J179" s="36">
        <f t="shared" si="2"/>
        <v>0.51100000000000001</v>
      </c>
    </row>
    <row r="180" spans="1:11" ht="23.25" customHeight="1" x14ac:dyDescent="0.25">
      <c r="A180" s="23">
        <v>170</v>
      </c>
      <c r="B180" s="49" t="s">
        <v>2835</v>
      </c>
      <c r="C180" s="15" t="s">
        <v>39</v>
      </c>
      <c r="D180" s="7" t="s">
        <v>1444</v>
      </c>
      <c r="E180" s="14" t="s">
        <v>1127</v>
      </c>
      <c r="F180" s="13" t="s">
        <v>1114</v>
      </c>
      <c r="G180" s="16"/>
      <c r="H180" s="16"/>
      <c r="I180" s="16">
        <v>0.31</v>
      </c>
      <c r="J180" s="36">
        <f t="shared" si="2"/>
        <v>0.31</v>
      </c>
    </row>
    <row r="181" spans="1:11" ht="24" customHeight="1" x14ac:dyDescent="0.25">
      <c r="A181" s="23">
        <v>171</v>
      </c>
      <c r="B181" s="49" t="s">
        <v>2836</v>
      </c>
      <c r="C181" s="15" t="s">
        <v>976</v>
      </c>
      <c r="D181" s="7" t="s">
        <v>1443</v>
      </c>
      <c r="E181" s="14" t="s">
        <v>1127</v>
      </c>
      <c r="F181" s="13" t="s">
        <v>1114</v>
      </c>
      <c r="G181" s="16"/>
      <c r="H181" s="16"/>
      <c r="I181" s="16">
        <v>0.13600000000000001</v>
      </c>
      <c r="J181" s="36">
        <f t="shared" si="2"/>
        <v>0.13600000000000001</v>
      </c>
      <c r="K181" s="11"/>
    </row>
    <row r="182" spans="1:11" ht="23.25" customHeight="1" x14ac:dyDescent="0.25">
      <c r="A182" s="23">
        <v>172</v>
      </c>
      <c r="B182" s="49" t="s">
        <v>2837</v>
      </c>
      <c r="C182" s="15" t="s">
        <v>976</v>
      </c>
      <c r="D182" s="7" t="s">
        <v>1442</v>
      </c>
      <c r="E182" s="14" t="s">
        <v>1127</v>
      </c>
      <c r="F182" s="13" t="s">
        <v>1114</v>
      </c>
      <c r="G182" s="16"/>
      <c r="H182" s="16"/>
      <c r="I182" s="16">
        <v>0.35799999999999998</v>
      </c>
      <c r="J182" s="36">
        <f t="shared" si="2"/>
        <v>0.35799999999999998</v>
      </c>
    </row>
    <row r="183" spans="1:11" ht="23.25" customHeight="1" x14ac:dyDescent="0.25">
      <c r="A183" s="23">
        <v>173</v>
      </c>
      <c r="B183" s="49" t="s">
        <v>2838</v>
      </c>
      <c r="C183" s="15" t="s">
        <v>39</v>
      </c>
      <c r="D183" s="7" t="s">
        <v>1441</v>
      </c>
      <c r="E183" s="14" t="s">
        <v>1127</v>
      </c>
      <c r="F183" s="13" t="s">
        <v>1114</v>
      </c>
      <c r="G183" s="16"/>
      <c r="H183" s="16"/>
      <c r="I183" s="16">
        <v>0.63500000000000001</v>
      </c>
      <c r="J183" s="36">
        <f t="shared" si="2"/>
        <v>0.63500000000000001</v>
      </c>
    </row>
    <row r="184" spans="1:11" ht="23.25" customHeight="1" x14ac:dyDescent="0.25">
      <c r="A184" s="23">
        <v>174</v>
      </c>
      <c r="B184" s="49" t="s">
        <v>2839</v>
      </c>
      <c r="C184" s="15" t="s">
        <v>976</v>
      </c>
      <c r="D184" s="7" t="s">
        <v>1440</v>
      </c>
      <c r="E184" s="14" t="s">
        <v>1127</v>
      </c>
      <c r="F184" s="13" t="s">
        <v>1114</v>
      </c>
      <c r="G184" s="16"/>
      <c r="H184" s="16"/>
      <c r="I184" s="16">
        <v>0.18099999999999999</v>
      </c>
      <c r="J184" s="36">
        <f t="shared" si="2"/>
        <v>0.18099999999999999</v>
      </c>
    </row>
    <row r="185" spans="1:11" ht="23.25" customHeight="1" x14ac:dyDescent="0.25">
      <c r="A185" s="23">
        <v>175</v>
      </c>
      <c r="B185" s="49" t="s">
        <v>2840</v>
      </c>
      <c r="C185" s="15" t="s">
        <v>39</v>
      </c>
      <c r="D185" s="7" t="s">
        <v>1439</v>
      </c>
      <c r="E185" s="14" t="s">
        <v>1127</v>
      </c>
      <c r="F185" s="13" t="s">
        <v>1114</v>
      </c>
      <c r="G185" s="16"/>
      <c r="H185" s="16"/>
      <c r="I185" s="16">
        <v>0.66900000000000004</v>
      </c>
      <c r="J185" s="36">
        <f t="shared" si="2"/>
        <v>0.66900000000000004</v>
      </c>
    </row>
    <row r="186" spans="1:11" ht="23.25" customHeight="1" x14ac:dyDescent="0.25">
      <c r="A186" s="23">
        <v>176</v>
      </c>
      <c r="B186" s="49" t="s">
        <v>2841</v>
      </c>
      <c r="C186" s="15" t="s">
        <v>976</v>
      </c>
      <c r="D186" s="7" t="s">
        <v>1438</v>
      </c>
      <c r="E186" s="14" t="s">
        <v>1127</v>
      </c>
      <c r="F186" s="13" t="s">
        <v>1114</v>
      </c>
      <c r="G186" s="16"/>
      <c r="H186" s="16"/>
      <c r="I186" s="16">
        <v>0.28299999999999997</v>
      </c>
      <c r="J186" s="36">
        <f t="shared" si="2"/>
        <v>0.28299999999999997</v>
      </c>
    </row>
    <row r="187" spans="1:11" ht="23.25" customHeight="1" x14ac:dyDescent="0.25">
      <c r="A187" s="23">
        <v>177</v>
      </c>
      <c r="B187" s="49" t="s">
        <v>2842</v>
      </c>
      <c r="C187" s="15" t="s">
        <v>39</v>
      </c>
      <c r="D187" s="7" t="s">
        <v>1437</v>
      </c>
      <c r="E187" s="14" t="s">
        <v>1127</v>
      </c>
      <c r="F187" s="13" t="s">
        <v>1114</v>
      </c>
      <c r="G187" s="16"/>
      <c r="H187" s="16"/>
      <c r="I187" s="16">
        <v>0.66800000000000004</v>
      </c>
      <c r="J187" s="36">
        <f t="shared" si="2"/>
        <v>0.66800000000000004</v>
      </c>
    </row>
    <row r="188" spans="1:11" ht="23.25" customHeight="1" x14ac:dyDescent="0.25">
      <c r="A188" s="23">
        <v>178</v>
      </c>
      <c r="B188" s="49" t="s">
        <v>2843</v>
      </c>
      <c r="C188" s="15" t="s">
        <v>976</v>
      </c>
      <c r="D188" s="7" t="s">
        <v>1436</v>
      </c>
      <c r="E188" s="14" t="s">
        <v>1127</v>
      </c>
      <c r="F188" s="13" t="s">
        <v>1114</v>
      </c>
      <c r="G188" s="16"/>
      <c r="H188" s="16"/>
      <c r="I188" s="16">
        <v>0.41099999999999998</v>
      </c>
      <c r="J188" s="36">
        <f t="shared" si="2"/>
        <v>0.41099999999999998</v>
      </c>
    </row>
    <row r="189" spans="1:11" ht="23.25" customHeight="1" x14ac:dyDescent="0.25">
      <c r="A189" s="23">
        <v>179</v>
      </c>
      <c r="B189" s="49" t="s">
        <v>2844</v>
      </c>
      <c r="C189" s="15" t="s">
        <v>39</v>
      </c>
      <c r="D189" s="7" t="s">
        <v>1435</v>
      </c>
      <c r="E189" s="14" t="s">
        <v>1127</v>
      </c>
      <c r="F189" s="13" t="s">
        <v>1114</v>
      </c>
      <c r="G189" s="16"/>
      <c r="H189" s="16"/>
      <c r="I189" s="16">
        <v>0.55500000000000005</v>
      </c>
      <c r="J189" s="36">
        <f t="shared" si="2"/>
        <v>0.55500000000000005</v>
      </c>
    </row>
    <row r="190" spans="1:11" ht="23.25" customHeight="1" x14ac:dyDescent="0.25">
      <c r="A190" s="23">
        <v>180</v>
      </c>
      <c r="B190" s="49" t="s">
        <v>2845</v>
      </c>
      <c r="C190" s="15" t="s">
        <v>39</v>
      </c>
      <c r="D190" s="7" t="s">
        <v>1434</v>
      </c>
      <c r="E190" s="14" t="s">
        <v>1127</v>
      </c>
      <c r="F190" s="13" t="s">
        <v>1114</v>
      </c>
      <c r="G190" s="16">
        <v>0.26600000000000001</v>
      </c>
      <c r="H190" s="16"/>
      <c r="I190" s="16"/>
      <c r="J190" s="36">
        <f t="shared" si="2"/>
        <v>0.26600000000000001</v>
      </c>
    </row>
    <row r="191" spans="1:11" ht="23.25" customHeight="1" x14ac:dyDescent="0.25">
      <c r="A191" s="23">
        <v>181</v>
      </c>
      <c r="B191" s="49" t="s">
        <v>2846</v>
      </c>
      <c r="C191" s="15" t="s">
        <v>39</v>
      </c>
      <c r="D191" s="7" t="s">
        <v>1433</v>
      </c>
      <c r="E191" s="14" t="s">
        <v>1127</v>
      </c>
      <c r="F191" s="13" t="s">
        <v>1114</v>
      </c>
      <c r="G191" s="16"/>
      <c r="H191" s="16"/>
      <c r="I191" s="16">
        <v>0.21</v>
      </c>
      <c r="J191" s="36">
        <f t="shared" si="2"/>
        <v>0.21</v>
      </c>
    </row>
    <row r="192" spans="1:11" ht="23.25" customHeight="1" x14ac:dyDescent="0.25">
      <c r="A192" s="23">
        <v>182</v>
      </c>
      <c r="B192" s="49" t="s">
        <v>2847</v>
      </c>
      <c r="C192" s="15" t="s">
        <v>976</v>
      </c>
      <c r="D192" s="7" t="s">
        <v>1432</v>
      </c>
      <c r="E192" s="14" t="s">
        <v>1127</v>
      </c>
      <c r="F192" s="13" t="s">
        <v>1114</v>
      </c>
      <c r="G192" s="16">
        <v>0.308</v>
      </c>
      <c r="H192" s="16">
        <v>0.308</v>
      </c>
      <c r="I192" s="16"/>
      <c r="J192" s="36">
        <f t="shared" si="2"/>
        <v>0.308</v>
      </c>
    </row>
    <row r="193" spans="1:10" ht="23.25" customHeight="1" x14ac:dyDescent="0.25">
      <c r="A193" s="23">
        <v>183</v>
      </c>
      <c r="B193" s="49" t="s">
        <v>2848</v>
      </c>
      <c r="C193" s="15" t="s">
        <v>976</v>
      </c>
      <c r="D193" s="7" t="s">
        <v>1431</v>
      </c>
      <c r="E193" s="14" t="s">
        <v>1127</v>
      </c>
      <c r="F193" s="13" t="s">
        <v>1114</v>
      </c>
      <c r="G193" s="16">
        <v>0.104</v>
      </c>
      <c r="H193" s="16">
        <v>0.104</v>
      </c>
      <c r="I193" s="16"/>
      <c r="J193" s="36">
        <f t="shared" si="2"/>
        <v>0.104</v>
      </c>
    </row>
    <row r="194" spans="1:10" ht="23.25" customHeight="1" x14ac:dyDescent="0.25">
      <c r="A194" s="23">
        <v>184</v>
      </c>
      <c r="B194" s="49" t="s">
        <v>2849</v>
      </c>
      <c r="C194" s="15" t="s">
        <v>39</v>
      </c>
      <c r="D194" s="7" t="s">
        <v>1430</v>
      </c>
      <c r="E194" s="14" t="s">
        <v>1127</v>
      </c>
      <c r="F194" s="13" t="s">
        <v>1114</v>
      </c>
      <c r="G194" s="16">
        <v>1.3520000000000001</v>
      </c>
      <c r="H194" s="16">
        <v>1.3520000000000001</v>
      </c>
      <c r="I194" s="16"/>
      <c r="J194" s="36">
        <f t="shared" si="2"/>
        <v>1.3520000000000001</v>
      </c>
    </row>
    <row r="195" spans="1:10" ht="23.25" customHeight="1" x14ac:dyDescent="0.25">
      <c r="A195" s="23">
        <v>185</v>
      </c>
      <c r="B195" s="49" t="s">
        <v>2850</v>
      </c>
      <c r="C195" s="15" t="s">
        <v>976</v>
      </c>
      <c r="D195" s="7" t="s">
        <v>1429</v>
      </c>
      <c r="E195" s="14" t="s">
        <v>1127</v>
      </c>
      <c r="F195" s="13" t="s">
        <v>1114</v>
      </c>
      <c r="G195" s="16">
        <v>0.13</v>
      </c>
      <c r="H195" s="16">
        <v>0.13</v>
      </c>
      <c r="I195" s="16"/>
      <c r="J195" s="36">
        <f t="shared" si="2"/>
        <v>0.13</v>
      </c>
    </row>
    <row r="196" spans="1:10" ht="23.25" customHeight="1" x14ac:dyDescent="0.25">
      <c r="A196" s="23">
        <v>186</v>
      </c>
      <c r="B196" s="49" t="s">
        <v>2851</v>
      </c>
      <c r="C196" s="15" t="s">
        <v>976</v>
      </c>
      <c r="D196" s="7" t="s">
        <v>1428</v>
      </c>
      <c r="E196" s="14" t="s">
        <v>1127</v>
      </c>
      <c r="F196" s="13" t="s">
        <v>1114</v>
      </c>
      <c r="G196" s="16">
        <v>0.121</v>
      </c>
      <c r="H196" s="16">
        <v>0.121</v>
      </c>
      <c r="I196" s="16"/>
      <c r="J196" s="36">
        <f t="shared" si="2"/>
        <v>0.121</v>
      </c>
    </row>
    <row r="197" spans="1:10" ht="23.25" customHeight="1" x14ac:dyDescent="0.25">
      <c r="A197" s="23">
        <v>187</v>
      </c>
      <c r="B197" s="49" t="s">
        <v>2852</v>
      </c>
      <c r="C197" s="15" t="s">
        <v>39</v>
      </c>
      <c r="D197" s="7" t="s">
        <v>1427</v>
      </c>
      <c r="E197" s="14" t="s">
        <v>1127</v>
      </c>
      <c r="F197" s="13" t="s">
        <v>1114</v>
      </c>
      <c r="G197" s="16">
        <v>0.377</v>
      </c>
      <c r="H197" s="16">
        <v>0.377</v>
      </c>
      <c r="I197" s="16"/>
      <c r="J197" s="36">
        <f t="shared" si="2"/>
        <v>0.377</v>
      </c>
    </row>
    <row r="198" spans="1:10" ht="23.25" customHeight="1" x14ac:dyDescent="0.25">
      <c r="A198" s="23">
        <v>188</v>
      </c>
      <c r="B198" s="49" t="s">
        <v>2853</v>
      </c>
      <c r="C198" s="15" t="s">
        <v>976</v>
      </c>
      <c r="D198" s="7" t="s">
        <v>1426</v>
      </c>
      <c r="E198" s="14" t="s">
        <v>1127</v>
      </c>
      <c r="F198" s="13" t="s">
        <v>1114</v>
      </c>
      <c r="G198" s="16">
        <v>0.217</v>
      </c>
      <c r="H198" s="16">
        <v>0.217</v>
      </c>
      <c r="I198" s="16"/>
      <c r="J198" s="36">
        <f t="shared" si="2"/>
        <v>0.217</v>
      </c>
    </row>
    <row r="199" spans="1:10" ht="23.25" customHeight="1" x14ac:dyDescent="0.25">
      <c r="A199" s="23">
        <v>189</v>
      </c>
      <c r="B199" s="49" t="s">
        <v>2854</v>
      </c>
      <c r="C199" s="15" t="s">
        <v>39</v>
      </c>
      <c r="D199" s="7" t="s">
        <v>1425</v>
      </c>
      <c r="E199" s="14" t="s">
        <v>1127</v>
      </c>
      <c r="F199" s="13" t="s">
        <v>1114</v>
      </c>
      <c r="G199" s="16">
        <v>1.9039999999999999</v>
      </c>
      <c r="H199" s="16">
        <v>1.9039999999999999</v>
      </c>
      <c r="I199" s="16"/>
      <c r="J199" s="36">
        <f t="shared" si="2"/>
        <v>1.9039999999999999</v>
      </c>
    </row>
    <row r="200" spans="1:10" ht="23.25" customHeight="1" x14ac:dyDescent="0.25">
      <c r="A200" s="23">
        <v>190</v>
      </c>
      <c r="B200" s="49" t="s">
        <v>2855</v>
      </c>
      <c r="C200" s="15" t="s">
        <v>976</v>
      </c>
      <c r="D200" s="7" t="s">
        <v>1424</v>
      </c>
      <c r="E200" s="14" t="s">
        <v>1127</v>
      </c>
      <c r="F200" s="13" t="s">
        <v>1114</v>
      </c>
      <c r="G200" s="16">
        <v>0.61</v>
      </c>
      <c r="H200" s="16">
        <v>0.61</v>
      </c>
      <c r="I200" s="16"/>
      <c r="J200" s="36">
        <f t="shared" si="2"/>
        <v>0.61</v>
      </c>
    </row>
    <row r="201" spans="1:10" ht="23.25" customHeight="1" x14ac:dyDescent="0.25">
      <c r="A201" s="23">
        <v>191</v>
      </c>
      <c r="B201" s="49" t="s">
        <v>2856</v>
      </c>
      <c r="C201" s="15" t="s">
        <v>976</v>
      </c>
      <c r="D201" s="7" t="s">
        <v>1423</v>
      </c>
      <c r="E201" s="14" t="s">
        <v>1127</v>
      </c>
      <c r="F201" s="13" t="s">
        <v>1114</v>
      </c>
      <c r="G201" s="16">
        <v>0.623</v>
      </c>
      <c r="H201" s="16">
        <v>0.623</v>
      </c>
      <c r="I201" s="16"/>
      <c r="J201" s="36">
        <f t="shared" si="2"/>
        <v>0.623</v>
      </c>
    </row>
    <row r="202" spans="1:10" ht="23.25" customHeight="1" x14ac:dyDescent="0.25">
      <c r="A202" s="23">
        <v>192</v>
      </c>
      <c r="B202" s="49" t="s">
        <v>2857</v>
      </c>
      <c r="C202" s="15" t="s">
        <v>39</v>
      </c>
      <c r="D202" s="7" t="s">
        <v>1422</v>
      </c>
      <c r="E202" s="14" t="s">
        <v>1127</v>
      </c>
      <c r="F202" s="13" t="s">
        <v>1114</v>
      </c>
      <c r="G202" s="16">
        <v>0.36599999999999999</v>
      </c>
      <c r="H202" s="16">
        <v>0.36599999999999999</v>
      </c>
      <c r="I202" s="16"/>
      <c r="J202" s="36">
        <f t="shared" si="2"/>
        <v>0.36599999999999999</v>
      </c>
    </row>
    <row r="203" spans="1:10" ht="33.75" customHeight="1" x14ac:dyDescent="0.25">
      <c r="A203" s="23">
        <v>193</v>
      </c>
      <c r="B203" s="49" t="s">
        <v>2858</v>
      </c>
      <c r="C203" s="15" t="s">
        <v>976</v>
      </c>
      <c r="D203" s="7" t="s">
        <v>1421</v>
      </c>
      <c r="E203" s="14" t="s">
        <v>1127</v>
      </c>
      <c r="F203" s="13" t="s">
        <v>1114</v>
      </c>
      <c r="G203" s="16">
        <v>7.8E-2</v>
      </c>
      <c r="H203" s="16">
        <v>7.8E-2</v>
      </c>
      <c r="I203" s="16"/>
      <c r="J203" s="36">
        <f t="shared" ref="J203:J266" si="3">G203+I203</f>
        <v>7.8E-2</v>
      </c>
    </row>
    <row r="204" spans="1:10" ht="36" customHeight="1" x14ac:dyDescent="0.25">
      <c r="A204" s="23">
        <v>194</v>
      </c>
      <c r="B204" s="49" t="s">
        <v>2859</v>
      </c>
      <c r="C204" s="15" t="s">
        <v>976</v>
      </c>
      <c r="D204" s="7" t="s">
        <v>1420</v>
      </c>
      <c r="E204" s="14" t="s">
        <v>1127</v>
      </c>
      <c r="F204" s="13" t="s">
        <v>1114</v>
      </c>
      <c r="G204" s="16">
        <v>0.14499999999999999</v>
      </c>
      <c r="H204" s="16">
        <v>0.14499999999999999</v>
      </c>
      <c r="I204" s="16"/>
      <c r="J204" s="36">
        <f t="shared" si="3"/>
        <v>0.14499999999999999</v>
      </c>
    </row>
    <row r="205" spans="1:10" ht="23.25" customHeight="1" x14ac:dyDescent="0.25">
      <c r="A205" s="23">
        <v>195</v>
      </c>
      <c r="B205" s="49" t="s">
        <v>2860</v>
      </c>
      <c r="C205" s="15" t="s">
        <v>39</v>
      </c>
      <c r="D205" s="7" t="s">
        <v>1419</v>
      </c>
      <c r="E205" s="14" t="s">
        <v>1127</v>
      </c>
      <c r="F205" s="13" t="s">
        <v>1114</v>
      </c>
      <c r="G205" s="16">
        <v>0.80900000000000005</v>
      </c>
      <c r="H205" s="16">
        <v>0.80900000000000005</v>
      </c>
      <c r="I205" s="16"/>
      <c r="J205" s="36">
        <f t="shared" si="3"/>
        <v>0.80900000000000005</v>
      </c>
    </row>
    <row r="206" spans="1:10" ht="23.25" customHeight="1" x14ac:dyDescent="0.25">
      <c r="A206" s="23">
        <v>196</v>
      </c>
      <c r="B206" s="49" t="s">
        <v>2861</v>
      </c>
      <c r="C206" s="15" t="s">
        <v>976</v>
      </c>
      <c r="D206" s="7" t="s">
        <v>1418</v>
      </c>
      <c r="E206" s="14" t="s">
        <v>1127</v>
      </c>
      <c r="F206" s="13" t="s">
        <v>1114</v>
      </c>
      <c r="G206" s="16"/>
      <c r="H206" s="16"/>
      <c r="I206" s="16">
        <v>0.27100000000000002</v>
      </c>
      <c r="J206" s="36">
        <f t="shared" si="3"/>
        <v>0.27100000000000002</v>
      </c>
    </row>
    <row r="207" spans="1:10" ht="23.25" customHeight="1" x14ac:dyDescent="0.25">
      <c r="A207" s="23">
        <v>197</v>
      </c>
      <c r="B207" s="49" t="s">
        <v>2862</v>
      </c>
      <c r="C207" s="15" t="s">
        <v>976</v>
      </c>
      <c r="D207" s="7" t="s">
        <v>1417</v>
      </c>
      <c r="E207" s="14" t="s">
        <v>1127</v>
      </c>
      <c r="F207" s="13" t="s">
        <v>1114</v>
      </c>
      <c r="G207" s="16">
        <v>0.23</v>
      </c>
      <c r="H207" s="16">
        <v>0.23</v>
      </c>
      <c r="I207" s="16">
        <v>0.13200000000000001</v>
      </c>
      <c r="J207" s="36">
        <f t="shared" si="3"/>
        <v>0.36199999999999999</v>
      </c>
    </row>
    <row r="208" spans="1:10" ht="23.25" customHeight="1" x14ac:dyDescent="0.25">
      <c r="A208" s="23">
        <v>198</v>
      </c>
      <c r="B208" s="49" t="s">
        <v>2863</v>
      </c>
      <c r="C208" s="15" t="s">
        <v>976</v>
      </c>
      <c r="D208" s="7" t="s">
        <v>1416</v>
      </c>
      <c r="E208" s="14" t="s">
        <v>1127</v>
      </c>
      <c r="F208" s="13" t="s">
        <v>1114</v>
      </c>
      <c r="G208" s="16">
        <v>0.13900000000000001</v>
      </c>
      <c r="H208" s="16">
        <v>0.13900000000000001</v>
      </c>
      <c r="I208" s="16"/>
      <c r="J208" s="36">
        <f t="shared" si="3"/>
        <v>0.13900000000000001</v>
      </c>
    </row>
    <row r="209" spans="1:10" ht="36" customHeight="1" x14ac:dyDescent="0.25">
      <c r="A209" s="23">
        <v>199</v>
      </c>
      <c r="B209" s="49" t="s">
        <v>2864</v>
      </c>
      <c r="C209" s="15" t="s">
        <v>39</v>
      </c>
      <c r="D209" s="7" t="s">
        <v>1415</v>
      </c>
      <c r="E209" s="14" t="s">
        <v>1127</v>
      </c>
      <c r="F209" s="13" t="s">
        <v>1114</v>
      </c>
      <c r="G209" s="16"/>
      <c r="H209" s="16"/>
      <c r="I209" s="16">
        <v>0.73799999999999999</v>
      </c>
      <c r="J209" s="36">
        <f t="shared" si="3"/>
        <v>0.73799999999999999</v>
      </c>
    </row>
    <row r="210" spans="1:10" ht="35.25" customHeight="1" x14ac:dyDescent="0.25">
      <c r="A210" s="23">
        <v>200</v>
      </c>
      <c r="B210" s="49" t="s">
        <v>2865</v>
      </c>
      <c r="C210" s="15" t="s">
        <v>976</v>
      </c>
      <c r="D210" s="7" t="s">
        <v>1414</v>
      </c>
      <c r="E210" s="14" t="s">
        <v>1127</v>
      </c>
      <c r="F210" s="13" t="s">
        <v>1114</v>
      </c>
      <c r="G210" s="16"/>
      <c r="H210" s="16"/>
      <c r="I210" s="16">
        <v>0.36299999999999999</v>
      </c>
      <c r="J210" s="36">
        <f t="shared" si="3"/>
        <v>0.36299999999999999</v>
      </c>
    </row>
    <row r="211" spans="1:10" ht="23.25" customHeight="1" x14ac:dyDescent="0.25">
      <c r="A211" s="23">
        <v>201</v>
      </c>
      <c r="B211" s="49" t="s">
        <v>2866</v>
      </c>
      <c r="C211" s="15" t="s">
        <v>39</v>
      </c>
      <c r="D211" s="7" t="s">
        <v>1413</v>
      </c>
      <c r="E211" s="14" t="s">
        <v>1127</v>
      </c>
      <c r="F211" s="13" t="s">
        <v>1114</v>
      </c>
      <c r="G211" s="16"/>
      <c r="H211" s="16"/>
      <c r="I211" s="16">
        <v>0.44</v>
      </c>
      <c r="J211" s="36">
        <f t="shared" si="3"/>
        <v>0.44</v>
      </c>
    </row>
    <row r="212" spans="1:10" ht="23.25" customHeight="1" x14ac:dyDescent="0.25">
      <c r="A212" s="23">
        <v>202</v>
      </c>
      <c r="B212" s="49" t="s">
        <v>2867</v>
      </c>
      <c r="C212" s="15" t="s">
        <v>39</v>
      </c>
      <c r="D212" s="7" t="s">
        <v>1412</v>
      </c>
      <c r="E212" s="14" t="s">
        <v>1127</v>
      </c>
      <c r="F212" s="13" t="s">
        <v>1114</v>
      </c>
      <c r="G212" s="16">
        <v>0.254</v>
      </c>
      <c r="H212" s="16">
        <v>0.254</v>
      </c>
      <c r="I212" s="16">
        <v>0.30599999999999999</v>
      </c>
      <c r="J212" s="36">
        <f t="shared" si="3"/>
        <v>0.56000000000000005</v>
      </c>
    </row>
    <row r="213" spans="1:10" ht="23.25" customHeight="1" x14ac:dyDescent="0.25">
      <c r="A213" s="23">
        <v>203</v>
      </c>
      <c r="B213" s="49" t="s">
        <v>2868</v>
      </c>
      <c r="C213" s="15" t="s">
        <v>39</v>
      </c>
      <c r="D213" s="7" t="s">
        <v>1411</v>
      </c>
      <c r="E213" s="14" t="s">
        <v>1127</v>
      </c>
      <c r="F213" s="13" t="s">
        <v>1114</v>
      </c>
      <c r="G213" s="16"/>
      <c r="H213" s="16"/>
      <c r="I213" s="16">
        <v>0.78600000000000003</v>
      </c>
      <c r="J213" s="36">
        <f t="shared" si="3"/>
        <v>0.78600000000000003</v>
      </c>
    </row>
    <row r="214" spans="1:10" ht="23.25" customHeight="1" x14ac:dyDescent="0.25">
      <c r="A214" s="23">
        <v>204</v>
      </c>
      <c r="B214" s="49" t="s">
        <v>2869</v>
      </c>
      <c r="C214" s="15" t="s">
        <v>976</v>
      </c>
      <c r="D214" s="7" t="s">
        <v>1410</v>
      </c>
      <c r="E214" s="14" t="s">
        <v>1127</v>
      </c>
      <c r="F214" s="13" t="s">
        <v>1114</v>
      </c>
      <c r="G214" s="16"/>
      <c r="H214" s="16"/>
      <c r="I214" s="16">
        <v>0.315</v>
      </c>
      <c r="J214" s="36">
        <f t="shared" si="3"/>
        <v>0.315</v>
      </c>
    </row>
    <row r="215" spans="1:10" ht="23.25" customHeight="1" x14ac:dyDescent="0.25">
      <c r="A215" s="23">
        <v>205</v>
      </c>
      <c r="B215" s="49" t="s">
        <v>2870</v>
      </c>
      <c r="C215" s="15" t="s">
        <v>39</v>
      </c>
      <c r="D215" s="7" t="s">
        <v>1409</v>
      </c>
      <c r="E215" s="14" t="s">
        <v>1127</v>
      </c>
      <c r="F215" s="13" t="s">
        <v>1114</v>
      </c>
      <c r="G215" s="16">
        <v>0.90900000000000003</v>
      </c>
      <c r="H215" s="16"/>
      <c r="I215" s="16"/>
      <c r="J215" s="36">
        <f t="shared" si="3"/>
        <v>0.90900000000000003</v>
      </c>
    </row>
    <row r="216" spans="1:10" ht="23.25" customHeight="1" x14ac:dyDescent="0.25">
      <c r="A216" s="23">
        <v>206</v>
      </c>
      <c r="B216" s="49" t="s">
        <v>2871</v>
      </c>
      <c r="C216" s="15" t="s">
        <v>39</v>
      </c>
      <c r="D216" s="7" t="s">
        <v>1408</v>
      </c>
      <c r="E216" s="14" t="s">
        <v>1127</v>
      </c>
      <c r="F216" s="13" t="s">
        <v>1114</v>
      </c>
      <c r="G216" s="16"/>
      <c r="H216" s="16"/>
      <c r="I216" s="16">
        <v>0.46100000000000002</v>
      </c>
      <c r="J216" s="36">
        <f t="shared" si="3"/>
        <v>0.46100000000000002</v>
      </c>
    </row>
    <row r="217" spans="1:10" ht="23.25" customHeight="1" x14ac:dyDescent="0.25">
      <c r="A217" s="23">
        <v>207</v>
      </c>
      <c r="B217" s="49" t="s">
        <v>2872</v>
      </c>
      <c r="C217" s="15" t="s">
        <v>39</v>
      </c>
      <c r="D217" s="7" t="s">
        <v>1407</v>
      </c>
      <c r="E217" s="14" t="s">
        <v>1127</v>
      </c>
      <c r="F217" s="13" t="s">
        <v>1114</v>
      </c>
      <c r="G217" s="16">
        <v>0.66700000000000004</v>
      </c>
      <c r="H217" s="16"/>
      <c r="I217" s="16"/>
      <c r="J217" s="36">
        <f t="shared" si="3"/>
        <v>0.66700000000000004</v>
      </c>
    </row>
    <row r="218" spans="1:10" ht="23.25" customHeight="1" x14ac:dyDescent="0.25">
      <c r="A218" s="23">
        <v>208</v>
      </c>
      <c r="B218" s="49" t="s">
        <v>2873</v>
      </c>
      <c r="C218" s="15" t="s">
        <v>39</v>
      </c>
      <c r="D218" s="7" t="s">
        <v>1406</v>
      </c>
      <c r="E218" s="14" t="s">
        <v>1127</v>
      </c>
      <c r="F218" s="13" t="s">
        <v>1114</v>
      </c>
      <c r="G218" s="16"/>
      <c r="H218" s="16"/>
      <c r="I218" s="16">
        <v>0.39300000000000002</v>
      </c>
      <c r="J218" s="36">
        <f t="shared" si="3"/>
        <v>0.39300000000000002</v>
      </c>
    </row>
    <row r="219" spans="1:10" ht="23.25" customHeight="1" x14ac:dyDescent="0.25">
      <c r="A219" s="23">
        <v>209</v>
      </c>
      <c r="B219" s="49" t="s">
        <v>2874</v>
      </c>
      <c r="C219" s="15" t="s">
        <v>39</v>
      </c>
      <c r="D219" s="7" t="s">
        <v>1405</v>
      </c>
      <c r="E219" s="14" t="s">
        <v>1127</v>
      </c>
      <c r="F219" s="13" t="s">
        <v>1114</v>
      </c>
      <c r="G219" s="16"/>
      <c r="H219" s="16"/>
      <c r="I219" s="16">
        <v>0.39100000000000001</v>
      </c>
      <c r="J219" s="36">
        <f t="shared" si="3"/>
        <v>0.39100000000000001</v>
      </c>
    </row>
    <row r="220" spans="1:10" ht="23.25" customHeight="1" x14ac:dyDescent="0.25">
      <c r="A220" s="23">
        <v>210</v>
      </c>
      <c r="B220" s="49" t="s">
        <v>2875</v>
      </c>
      <c r="C220" s="15" t="s">
        <v>39</v>
      </c>
      <c r="D220" s="7" t="s">
        <v>1404</v>
      </c>
      <c r="E220" s="14" t="s">
        <v>1127</v>
      </c>
      <c r="F220" s="13" t="s">
        <v>1114</v>
      </c>
      <c r="G220" s="16"/>
      <c r="H220" s="16"/>
      <c r="I220" s="16">
        <v>0.42699999999999999</v>
      </c>
      <c r="J220" s="36">
        <f t="shared" si="3"/>
        <v>0.42699999999999999</v>
      </c>
    </row>
    <row r="221" spans="1:10" ht="23.25" customHeight="1" x14ac:dyDescent="0.25">
      <c r="A221" s="23">
        <v>211</v>
      </c>
      <c r="B221" s="49" t="s">
        <v>2876</v>
      </c>
      <c r="C221" s="15" t="s">
        <v>39</v>
      </c>
      <c r="D221" s="7" t="s">
        <v>1403</v>
      </c>
      <c r="E221" s="14" t="s">
        <v>1127</v>
      </c>
      <c r="F221" s="13" t="s">
        <v>1114</v>
      </c>
      <c r="G221" s="16">
        <v>0.29299999999999998</v>
      </c>
      <c r="H221" s="16"/>
      <c r="I221" s="16"/>
      <c r="J221" s="36">
        <f t="shared" si="3"/>
        <v>0.29299999999999998</v>
      </c>
    </row>
    <row r="222" spans="1:10" ht="23.25" customHeight="1" x14ac:dyDescent="0.25">
      <c r="A222" s="23">
        <v>212</v>
      </c>
      <c r="B222" s="49" t="s">
        <v>2877</v>
      </c>
      <c r="C222" s="15" t="s">
        <v>976</v>
      </c>
      <c r="D222" s="7" t="s">
        <v>1402</v>
      </c>
      <c r="E222" s="14" t="s">
        <v>1127</v>
      </c>
      <c r="F222" s="13" t="s">
        <v>1114</v>
      </c>
      <c r="G222" s="16">
        <v>0.17799999999999999</v>
      </c>
      <c r="H222" s="16">
        <v>0.17799999999999999</v>
      </c>
      <c r="I222" s="16"/>
      <c r="J222" s="36">
        <f t="shared" si="3"/>
        <v>0.17799999999999999</v>
      </c>
    </row>
    <row r="223" spans="1:10" ht="23.25" customHeight="1" x14ac:dyDescent="0.25">
      <c r="A223" s="23">
        <v>213</v>
      </c>
      <c r="B223" s="49" t="s">
        <v>2878</v>
      </c>
      <c r="C223" s="15" t="s">
        <v>976</v>
      </c>
      <c r="D223" s="7" t="s">
        <v>1401</v>
      </c>
      <c r="E223" s="14" t="s">
        <v>1127</v>
      </c>
      <c r="F223" s="13" t="s">
        <v>1114</v>
      </c>
      <c r="G223" s="16">
        <v>0.33100000000000002</v>
      </c>
      <c r="H223" s="16">
        <v>0.33100000000000002</v>
      </c>
      <c r="I223" s="16"/>
      <c r="J223" s="36">
        <f t="shared" si="3"/>
        <v>0.33100000000000002</v>
      </c>
    </row>
    <row r="224" spans="1:10" ht="23.25" customHeight="1" x14ac:dyDescent="0.25">
      <c r="A224" s="23">
        <v>214</v>
      </c>
      <c r="B224" s="49" t="s">
        <v>2879</v>
      </c>
      <c r="C224" s="15" t="s">
        <v>39</v>
      </c>
      <c r="D224" s="7" t="s">
        <v>1400</v>
      </c>
      <c r="E224" s="14" t="s">
        <v>1127</v>
      </c>
      <c r="F224" s="13" t="s">
        <v>1114</v>
      </c>
      <c r="G224" s="16">
        <v>0.23899999999999999</v>
      </c>
      <c r="H224" s="16"/>
      <c r="I224" s="16">
        <v>0.30299999999999999</v>
      </c>
      <c r="J224" s="36">
        <f t="shared" si="3"/>
        <v>0.54200000000000004</v>
      </c>
    </row>
    <row r="225" spans="1:11" ht="23.25" customHeight="1" x14ac:dyDescent="0.25">
      <c r="A225" s="23">
        <v>215</v>
      </c>
      <c r="B225" s="49" t="s">
        <v>2880</v>
      </c>
      <c r="C225" s="15" t="s">
        <v>39</v>
      </c>
      <c r="D225" s="7" t="s">
        <v>1399</v>
      </c>
      <c r="E225" s="14" t="s">
        <v>1127</v>
      </c>
      <c r="F225" s="13" t="s">
        <v>1114</v>
      </c>
      <c r="G225" s="16"/>
      <c r="H225" s="16"/>
      <c r="I225" s="16">
        <v>0.60399999999999998</v>
      </c>
      <c r="J225" s="36">
        <f t="shared" si="3"/>
        <v>0.60399999999999998</v>
      </c>
    </row>
    <row r="226" spans="1:11" ht="23.25" customHeight="1" x14ac:dyDescent="0.25">
      <c r="A226" s="23">
        <v>216</v>
      </c>
      <c r="B226" s="49" t="s">
        <v>2881</v>
      </c>
      <c r="C226" s="15" t="s">
        <v>39</v>
      </c>
      <c r="D226" s="7" t="s">
        <v>1398</v>
      </c>
      <c r="E226" s="14" t="s">
        <v>1127</v>
      </c>
      <c r="F226" s="13" t="s">
        <v>1114</v>
      </c>
      <c r="G226" s="16">
        <v>0.34599999999999997</v>
      </c>
      <c r="H226" s="16">
        <v>0.34599999999999997</v>
      </c>
      <c r="I226" s="16">
        <v>0.28699999999999998</v>
      </c>
      <c r="J226" s="36">
        <f t="shared" si="3"/>
        <v>0.63300000000000001</v>
      </c>
    </row>
    <row r="227" spans="1:11" ht="23.25" customHeight="1" x14ac:dyDescent="0.25">
      <c r="A227" s="23">
        <v>217</v>
      </c>
      <c r="B227" s="49" t="s">
        <v>2882</v>
      </c>
      <c r="C227" s="15" t="s">
        <v>39</v>
      </c>
      <c r="D227" s="7" t="s">
        <v>1397</v>
      </c>
      <c r="E227" s="14" t="s">
        <v>1127</v>
      </c>
      <c r="F227" s="13" t="s">
        <v>1114</v>
      </c>
      <c r="G227" s="16">
        <v>0.314</v>
      </c>
      <c r="H227" s="16">
        <v>0.314</v>
      </c>
      <c r="I227" s="16">
        <v>0</v>
      </c>
      <c r="J227" s="36">
        <f t="shared" si="3"/>
        <v>0.314</v>
      </c>
    </row>
    <row r="228" spans="1:11" ht="23.25" customHeight="1" x14ac:dyDescent="0.25">
      <c r="A228" s="23">
        <v>218</v>
      </c>
      <c r="B228" s="49" t="s">
        <v>2883</v>
      </c>
      <c r="C228" s="15" t="s">
        <v>39</v>
      </c>
      <c r="D228" s="7" t="s">
        <v>1396</v>
      </c>
      <c r="E228" s="14" t="s">
        <v>1127</v>
      </c>
      <c r="F228" s="13" t="s">
        <v>1114</v>
      </c>
      <c r="G228" s="16">
        <v>1.7999999999999999E-2</v>
      </c>
      <c r="H228" s="16">
        <v>1.7999999999999999E-2</v>
      </c>
      <c r="I228" s="16">
        <v>0.29399999999999998</v>
      </c>
      <c r="J228" s="36">
        <f t="shared" si="3"/>
        <v>0.312</v>
      </c>
    </row>
    <row r="229" spans="1:11" ht="23.25" customHeight="1" x14ac:dyDescent="0.25">
      <c r="A229" s="23">
        <v>219</v>
      </c>
      <c r="B229" s="49" t="s">
        <v>2884</v>
      </c>
      <c r="C229" s="15" t="s">
        <v>39</v>
      </c>
      <c r="D229" s="7" t="s">
        <v>1395</v>
      </c>
      <c r="E229" s="14" t="s">
        <v>1127</v>
      </c>
      <c r="F229" s="13" t="s">
        <v>1114</v>
      </c>
      <c r="G229" s="16">
        <v>1.7999999999999999E-2</v>
      </c>
      <c r="H229" s="16">
        <v>1.7999999999999999E-2</v>
      </c>
      <c r="I229" s="16">
        <v>0.625</v>
      </c>
      <c r="J229" s="36">
        <f t="shared" si="3"/>
        <v>0.64300000000000002</v>
      </c>
    </row>
    <row r="230" spans="1:11" ht="23.25" customHeight="1" x14ac:dyDescent="0.25">
      <c r="A230" s="23">
        <v>220</v>
      </c>
      <c r="B230" s="49" t="s">
        <v>2885</v>
      </c>
      <c r="C230" s="15" t="s">
        <v>39</v>
      </c>
      <c r="D230" s="7" t="s">
        <v>1394</v>
      </c>
      <c r="E230" s="14" t="s">
        <v>1127</v>
      </c>
      <c r="F230" s="13" t="s">
        <v>1114</v>
      </c>
      <c r="G230" s="16">
        <v>1.7999999999999999E-2</v>
      </c>
      <c r="H230" s="16">
        <v>1.7999999999999999E-2</v>
      </c>
      <c r="I230" s="16">
        <v>0.625</v>
      </c>
      <c r="J230" s="36">
        <f t="shared" si="3"/>
        <v>0.64300000000000002</v>
      </c>
    </row>
    <row r="231" spans="1:11" ht="23.25" customHeight="1" x14ac:dyDescent="0.25">
      <c r="A231" s="23">
        <v>221</v>
      </c>
      <c r="B231" s="49" t="s">
        <v>2886</v>
      </c>
      <c r="C231" s="15" t="s">
        <v>39</v>
      </c>
      <c r="D231" s="7" t="s">
        <v>1393</v>
      </c>
      <c r="E231" s="14" t="s">
        <v>1127</v>
      </c>
      <c r="F231" s="13" t="s">
        <v>1114</v>
      </c>
      <c r="G231" s="16">
        <v>1.7999999999999999E-2</v>
      </c>
      <c r="H231" s="16">
        <v>1.7999999999999999E-2</v>
      </c>
      <c r="I231" s="16">
        <v>0.625</v>
      </c>
      <c r="J231" s="36">
        <f t="shared" si="3"/>
        <v>0.64300000000000002</v>
      </c>
    </row>
    <row r="232" spans="1:11" ht="23.25" customHeight="1" x14ac:dyDescent="0.25">
      <c r="A232" s="23">
        <v>222</v>
      </c>
      <c r="B232" s="49" t="s">
        <v>2887</v>
      </c>
      <c r="C232" s="15" t="s">
        <v>39</v>
      </c>
      <c r="D232" s="7" t="s">
        <v>1392</v>
      </c>
      <c r="E232" s="14" t="s">
        <v>1127</v>
      </c>
      <c r="F232" s="13" t="s">
        <v>1114</v>
      </c>
      <c r="G232" s="16">
        <v>1.7999999999999999E-2</v>
      </c>
      <c r="H232" s="16">
        <v>1.7999999999999999E-2</v>
      </c>
      <c r="I232" s="16">
        <v>0.625</v>
      </c>
      <c r="J232" s="36">
        <f t="shared" si="3"/>
        <v>0.64300000000000002</v>
      </c>
      <c r="K232" s="11"/>
    </row>
    <row r="233" spans="1:11" ht="23.25" customHeight="1" x14ac:dyDescent="0.25">
      <c r="A233" s="23">
        <v>223</v>
      </c>
      <c r="B233" s="49" t="s">
        <v>2888</v>
      </c>
      <c r="C233" s="15" t="s">
        <v>39</v>
      </c>
      <c r="D233" s="7" t="s">
        <v>1391</v>
      </c>
      <c r="E233" s="14" t="s">
        <v>1127</v>
      </c>
      <c r="F233" s="13" t="s">
        <v>1114</v>
      </c>
      <c r="G233" s="16">
        <v>1.7999999999999999E-2</v>
      </c>
      <c r="H233" s="16">
        <v>1.7999999999999999E-2</v>
      </c>
      <c r="I233" s="16">
        <v>0.629</v>
      </c>
      <c r="J233" s="36">
        <f t="shared" si="3"/>
        <v>0.64700000000000002</v>
      </c>
    </row>
    <row r="234" spans="1:11" ht="23.25" customHeight="1" x14ac:dyDescent="0.25">
      <c r="A234" s="23">
        <v>224</v>
      </c>
      <c r="B234" s="49" t="s">
        <v>2889</v>
      </c>
      <c r="C234" s="15" t="s">
        <v>976</v>
      </c>
      <c r="D234" s="7" t="s">
        <v>1390</v>
      </c>
      <c r="E234" s="14" t="s">
        <v>1127</v>
      </c>
      <c r="F234" s="13" t="s">
        <v>1114</v>
      </c>
      <c r="G234" s="16">
        <v>0.38300000000000001</v>
      </c>
      <c r="H234" s="16">
        <v>0.38300000000000001</v>
      </c>
      <c r="I234" s="16"/>
      <c r="J234" s="36">
        <f t="shared" si="3"/>
        <v>0.38300000000000001</v>
      </c>
    </row>
    <row r="235" spans="1:11" ht="23.25" customHeight="1" x14ac:dyDescent="0.25">
      <c r="A235" s="23">
        <v>225</v>
      </c>
      <c r="B235" s="49" t="s">
        <v>2890</v>
      </c>
      <c r="C235" s="15" t="s">
        <v>39</v>
      </c>
      <c r="D235" s="7" t="s">
        <v>1389</v>
      </c>
      <c r="E235" s="14" t="s">
        <v>1127</v>
      </c>
      <c r="F235" s="13" t="s">
        <v>1114</v>
      </c>
      <c r="G235" s="16"/>
      <c r="H235" s="16"/>
      <c r="I235" s="16">
        <v>0.28100000000000003</v>
      </c>
      <c r="J235" s="36">
        <f t="shared" si="3"/>
        <v>0.28100000000000003</v>
      </c>
    </row>
    <row r="236" spans="1:11" ht="23.25" customHeight="1" x14ac:dyDescent="0.25">
      <c r="A236" s="23">
        <v>226</v>
      </c>
      <c r="B236" s="49" t="s">
        <v>2891</v>
      </c>
      <c r="C236" s="15" t="s">
        <v>39</v>
      </c>
      <c r="D236" s="7" t="s">
        <v>1388</v>
      </c>
      <c r="E236" s="14" t="s">
        <v>1127</v>
      </c>
      <c r="F236" s="13" t="s">
        <v>1114</v>
      </c>
      <c r="G236" s="16"/>
      <c r="H236" s="16"/>
      <c r="I236" s="16">
        <v>0.28799999999999998</v>
      </c>
      <c r="J236" s="36">
        <f t="shared" si="3"/>
        <v>0.28799999999999998</v>
      </c>
    </row>
    <row r="237" spans="1:11" ht="23.25" customHeight="1" x14ac:dyDescent="0.25">
      <c r="A237" s="23">
        <v>227</v>
      </c>
      <c r="B237" s="49" t="s">
        <v>2892</v>
      </c>
      <c r="C237" s="15" t="s">
        <v>976</v>
      </c>
      <c r="D237" s="7" t="s">
        <v>1387</v>
      </c>
      <c r="E237" s="14" t="s">
        <v>1127</v>
      </c>
      <c r="F237" s="13" t="s">
        <v>1114</v>
      </c>
      <c r="G237" s="16"/>
      <c r="H237" s="16"/>
      <c r="I237" s="16">
        <v>0.29599999999999999</v>
      </c>
      <c r="J237" s="36">
        <f t="shared" si="3"/>
        <v>0.29599999999999999</v>
      </c>
    </row>
    <row r="238" spans="1:11" ht="23.25" customHeight="1" x14ac:dyDescent="0.25">
      <c r="A238" s="23">
        <v>228</v>
      </c>
      <c r="B238" s="49" t="s">
        <v>2893</v>
      </c>
      <c r="C238" s="15" t="s">
        <v>39</v>
      </c>
      <c r="D238" s="7" t="s">
        <v>1386</v>
      </c>
      <c r="E238" s="14" t="s">
        <v>1127</v>
      </c>
      <c r="F238" s="13" t="s">
        <v>1114</v>
      </c>
      <c r="G238" s="16"/>
      <c r="H238" s="16"/>
      <c r="I238" s="16">
        <v>0.80300000000000005</v>
      </c>
      <c r="J238" s="36">
        <f t="shared" si="3"/>
        <v>0.80300000000000005</v>
      </c>
    </row>
    <row r="239" spans="1:11" ht="23.25" customHeight="1" x14ac:dyDescent="0.25">
      <c r="A239" s="23">
        <v>229</v>
      </c>
      <c r="B239" s="49" t="s">
        <v>2894</v>
      </c>
      <c r="C239" s="15" t="s">
        <v>39</v>
      </c>
      <c r="D239" s="7" t="s">
        <v>1385</v>
      </c>
      <c r="E239" s="14" t="s">
        <v>1127</v>
      </c>
      <c r="F239" s="13" t="s">
        <v>1114</v>
      </c>
      <c r="G239" s="16"/>
      <c r="H239" s="16"/>
      <c r="I239" s="16">
        <v>0.46700000000000003</v>
      </c>
      <c r="J239" s="36">
        <f t="shared" si="3"/>
        <v>0.46700000000000003</v>
      </c>
    </row>
    <row r="240" spans="1:11" ht="23.25" customHeight="1" x14ac:dyDescent="0.25">
      <c r="A240" s="23">
        <v>230</v>
      </c>
      <c r="B240" s="49" t="s">
        <v>2895</v>
      </c>
      <c r="C240" s="15" t="s">
        <v>39</v>
      </c>
      <c r="D240" s="7" t="s">
        <v>1384</v>
      </c>
      <c r="E240" s="14" t="s">
        <v>1127</v>
      </c>
      <c r="F240" s="13" t="s">
        <v>1114</v>
      </c>
      <c r="G240" s="16"/>
      <c r="H240" s="16"/>
      <c r="I240" s="16">
        <v>0.38400000000000001</v>
      </c>
      <c r="J240" s="36">
        <f t="shared" si="3"/>
        <v>0.38400000000000001</v>
      </c>
    </row>
    <row r="241" spans="1:10" ht="30" customHeight="1" x14ac:dyDescent="0.25">
      <c r="A241" s="23">
        <v>231</v>
      </c>
      <c r="B241" s="49" t="s">
        <v>2896</v>
      </c>
      <c r="C241" s="15" t="s">
        <v>976</v>
      </c>
      <c r="D241" s="7" t="s">
        <v>1383</v>
      </c>
      <c r="E241" s="14" t="s">
        <v>1127</v>
      </c>
      <c r="F241" s="13" t="s">
        <v>1114</v>
      </c>
      <c r="G241" s="16"/>
      <c r="H241" s="16"/>
      <c r="I241" s="16">
        <v>0.14299999999999999</v>
      </c>
      <c r="J241" s="36">
        <f t="shared" si="3"/>
        <v>0.14299999999999999</v>
      </c>
    </row>
    <row r="242" spans="1:10" ht="23.25" customHeight="1" x14ac:dyDescent="0.25">
      <c r="A242" s="23">
        <v>232</v>
      </c>
      <c r="B242" s="49" t="s">
        <v>2897</v>
      </c>
      <c r="C242" s="15" t="s">
        <v>976</v>
      </c>
      <c r="D242" s="7" t="s">
        <v>1382</v>
      </c>
      <c r="E242" s="14" t="s">
        <v>1127</v>
      </c>
      <c r="F242" s="13" t="s">
        <v>1114</v>
      </c>
      <c r="G242" s="16"/>
      <c r="H242" s="16"/>
      <c r="I242" s="16">
        <v>0.32100000000000001</v>
      </c>
      <c r="J242" s="36">
        <f t="shared" si="3"/>
        <v>0.32100000000000001</v>
      </c>
    </row>
    <row r="243" spans="1:10" ht="32.25" customHeight="1" x14ac:dyDescent="0.25">
      <c r="A243" s="23">
        <v>233</v>
      </c>
      <c r="B243" s="49" t="s">
        <v>2898</v>
      </c>
      <c r="C243" s="15" t="s">
        <v>976</v>
      </c>
      <c r="D243" s="7" t="s">
        <v>1381</v>
      </c>
      <c r="E243" s="14" t="s">
        <v>1127</v>
      </c>
      <c r="F243" s="13" t="s">
        <v>1114</v>
      </c>
      <c r="G243" s="16"/>
      <c r="H243" s="16"/>
      <c r="I243" s="16">
        <v>0.154</v>
      </c>
      <c r="J243" s="36">
        <f t="shared" si="3"/>
        <v>0.154</v>
      </c>
    </row>
    <row r="244" spans="1:10" ht="23.25" customHeight="1" x14ac:dyDescent="0.25">
      <c r="A244" s="23">
        <v>234</v>
      </c>
      <c r="B244" s="49" t="s">
        <v>2899</v>
      </c>
      <c r="C244" s="15" t="s">
        <v>39</v>
      </c>
      <c r="D244" s="7" t="s">
        <v>1380</v>
      </c>
      <c r="E244" s="14" t="s">
        <v>1127</v>
      </c>
      <c r="F244" s="13" t="s">
        <v>1114</v>
      </c>
      <c r="G244" s="16">
        <v>0.86899999999999999</v>
      </c>
      <c r="H244" s="16"/>
      <c r="I244" s="16"/>
      <c r="J244" s="36">
        <f t="shared" si="3"/>
        <v>0.86899999999999999</v>
      </c>
    </row>
    <row r="245" spans="1:10" ht="23.25" customHeight="1" x14ac:dyDescent="0.25">
      <c r="A245" s="23">
        <v>235</v>
      </c>
      <c r="B245" s="49" t="s">
        <v>2900</v>
      </c>
      <c r="C245" s="15" t="s">
        <v>976</v>
      </c>
      <c r="D245" s="7" t="s">
        <v>1379</v>
      </c>
      <c r="E245" s="14" t="s">
        <v>1127</v>
      </c>
      <c r="F245" s="13" t="s">
        <v>1114</v>
      </c>
      <c r="G245" s="16"/>
      <c r="H245" s="16"/>
      <c r="I245" s="16">
        <v>5.8999999999999997E-2</v>
      </c>
      <c r="J245" s="36">
        <f t="shared" si="3"/>
        <v>5.8999999999999997E-2</v>
      </c>
    </row>
    <row r="246" spans="1:10" ht="23.25" customHeight="1" x14ac:dyDescent="0.25">
      <c r="A246" s="23">
        <v>236</v>
      </c>
      <c r="B246" s="49" t="s">
        <v>2901</v>
      </c>
      <c r="C246" s="15" t="s">
        <v>976</v>
      </c>
      <c r="D246" s="7" t="s">
        <v>1378</v>
      </c>
      <c r="E246" s="14" t="s">
        <v>1127</v>
      </c>
      <c r="F246" s="13" t="s">
        <v>1114</v>
      </c>
      <c r="G246" s="16">
        <v>0.107</v>
      </c>
      <c r="H246" s="16"/>
      <c r="I246" s="16"/>
      <c r="J246" s="36">
        <f t="shared" si="3"/>
        <v>0.107</v>
      </c>
    </row>
    <row r="247" spans="1:10" ht="23.25" customHeight="1" x14ac:dyDescent="0.25">
      <c r="A247" s="23">
        <v>237</v>
      </c>
      <c r="B247" s="49" t="s">
        <v>2902</v>
      </c>
      <c r="C247" s="15" t="s">
        <v>976</v>
      </c>
      <c r="D247" s="7" t="s">
        <v>1377</v>
      </c>
      <c r="E247" s="14" t="s">
        <v>1127</v>
      </c>
      <c r="F247" s="13" t="s">
        <v>1114</v>
      </c>
      <c r="G247" s="16">
        <v>0.19400000000000001</v>
      </c>
      <c r="H247" s="16"/>
      <c r="I247" s="16">
        <v>0.41199999999999998</v>
      </c>
      <c r="J247" s="36">
        <f t="shared" si="3"/>
        <v>0.60599999999999998</v>
      </c>
    </row>
    <row r="248" spans="1:10" ht="23.25" customHeight="1" x14ac:dyDescent="0.25">
      <c r="A248" s="23">
        <v>238</v>
      </c>
      <c r="B248" s="49" t="s">
        <v>2903</v>
      </c>
      <c r="C248" s="15" t="s">
        <v>39</v>
      </c>
      <c r="D248" s="7" t="s">
        <v>1376</v>
      </c>
      <c r="E248" s="14" t="s">
        <v>1127</v>
      </c>
      <c r="F248" s="13" t="s">
        <v>1114</v>
      </c>
      <c r="G248" s="16"/>
      <c r="H248" s="16"/>
      <c r="I248" s="16">
        <v>0.93200000000000005</v>
      </c>
      <c r="J248" s="36">
        <f t="shared" si="3"/>
        <v>0.93200000000000005</v>
      </c>
    </row>
    <row r="249" spans="1:10" ht="23.25" customHeight="1" x14ac:dyDescent="0.25">
      <c r="A249" s="23">
        <v>239</v>
      </c>
      <c r="B249" s="49" t="s">
        <v>2904</v>
      </c>
      <c r="C249" s="15" t="s">
        <v>39</v>
      </c>
      <c r="D249" s="7" t="s">
        <v>1375</v>
      </c>
      <c r="E249" s="14" t="s">
        <v>1127</v>
      </c>
      <c r="F249" s="13" t="s">
        <v>1114</v>
      </c>
      <c r="G249" s="16"/>
      <c r="H249" s="16"/>
      <c r="I249" s="16">
        <v>0.71799999999999997</v>
      </c>
      <c r="J249" s="36">
        <f t="shared" si="3"/>
        <v>0.71799999999999997</v>
      </c>
    </row>
    <row r="250" spans="1:10" ht="23.25" customHeight="1" x14ac:dyDescent="0.25">
      <c r="A250" s="23">
        <v>240</v>
      </c>
      <c r="B250" s="49" t="s">
        <v>2905</v>
      </c>
      <c r="C250" s="15" t="s">
        <v>39</v>
      </c>
      <c r="D250" s="7" t="s">
        <v>1374</v>
      </c>
      <c r="E250" s="14" t="s">
        <v>1127</v>
      </c>
      <c r="F250" s="13" t="s">
        <v>1114</v>
      </c>
      <c r="G250" s="16"/>
      <c r="H250" s="16"/>
      <c r="I250" s="16">
        <v>0.69799999999999995</v>
      </c>
      <c r="J250" s="36">
        <f t="shared" si="3"/>
        <v>0.69799999999999995</v>
      </c>
    </row>
    <row r="251" spans="1:10" ht="23.25" customHeight="1" x14ac:dyDescent="0.25">
      <c r="A251" s="23">
        <v>241</v>
      </c>
      <c r="B251" s="49" t="s">
        <v>2906</v>
      </c>
      <c r="C251" s="15" t="s">
        <v>39</v>
      </c>
      <c r="D251" s="7" t="s">
        <v>1373</v>
      </c>
      <c r="E251" s="14" t="s">
        <v>1127</v>
      </c>
      <c r="F251" s="13" t="s">
        <v>1114</v>
      </c>
      <c r="G251" s="16"/>
      <c r="H251" s="16"/>
      <c r="I251" s="16">
        <v>0.97899999999999998</v>
      </c>
      <c r="J251" s="36">
        <f t="shared" si="3"/>
        <v>0.97899999999999998</v>
      </c>
    </row>
    <row r="252" spans="1:10" ht="23.25" customHeight="1" x14ac:dyDescent="0.25">
      <c r="A252" s="23">
        <v>242</v>
      </c>
      <c r="B252" s="49" t="s">
        <v>2907</v>
      </c>
      <c r="C252" s="15" t="s">
        <v>39</v>
      </c>
      <c r="D252" s="7" t="s">
        <v>1372</v>
      </c>
      <c r="E252" s="14" t="s">
        <v>1127</v>
      </c>
      <c r="F252" s="13" t="s">
        <v>1114</v>
      </c>
      <c r="G252" s="16">
        <v>0.64300000000000002</v>
      </c>
      <c r="H252" s="16">
        <v>0.64300000000000002</v>
      </c>
      <c r="I252" s="16"/>
      <c r="J252" s="36">
        <f t="shared" si="3"/>
        <v>0.64300000000000002</v>
      </c>
    </row>
    <row r="253" spans="1:10" ht="23.25" customHeight="1" x14ac:dyDescent="0.25">
      <c r="A253" s="23">
        <v>243</v>
      </c>
      <c r="B253" s="49" t="s">
        <v>2908</v>
      </c>
      <c r="C253" s="15" t="s">
        <v>976</v>
      </c>
      <c r="D253" s="7" t="s">
        <v>1371</v>
      </c>
      <c r="E253" s="14" t="s">
        <v>1127</v>
      </c>
      <c r="F253" s="13" t="s">
        <v>1114</v>
      </c>
      <c r="G253" s="16"/>
      <c r="H253" s="16"/>
      <c r="I253" s="16">
        <v>0.32200000000000001</v>
      </c>
      <c r="J253" s="36">
        <f t="shared" si="3"/>
        <v>0.32200000000000001</v>
      </c>
    </row>
    <row r="254" spans="1:10" ht="23.25" customHeight="1" x14ac:dyDescent="0.25">
      <c r="A254" s="23">
        <v>244</v>
      </c>
      <c r="B254" s="49" t="s">
        <v>2909</v>
      </c>
      <c r="C254" s="15" t="s">
        <v>976</v>
      </c>
      <c r="D254" s="7" t="s">
        <v>1370</v>
      </c>
      <c r="E254" s="14" t="s">
        <v>1127</v>
      </c>
      <c r="F254" s="13" t="s">
        <v>1114</v>
      </c>
      <c r="G254" s="16">
        <v>0.154</v>
      </c>
      <c r="H254" s="16"/>
      <c r="I254" s="16">
        <v>0.38400000000000001</v>
      </c>
      <c r="J254" s="36">
        <f t="shared" si="3"/>
        <v>0.53800000000000003</v>
      </c>
    </row>
    <row r="255" spans="1:10" ht="23.25" customHeight="1" x14ac:dyDescent="0.25">
      <c r="A255" s="23">
        <v>245</v>
      </c>
      <c r="B255" s="49" t="s">
        <v>2910</v>
      </c>
      <c r="C255" s="15" t="s">
        <v>976</v>
      </c>
      <c r="D255" s="7" t="s">
        <v>1369</v>
      </c>
      <c r="E255" s="14" t="s">
        <v>1127</v>
      </c>
      <c r="F255" s="13" t="s">
        <v>1114</v>
      </c>
      <c r="G255" s="16"/>
      <c r="H255" s="16"/>
      <c r="I255" s="16">
        <v>0.115</v>
      </c>
      <c r="J255" s="36">
        <f t="shared" si="3"/>
        <v>0.115</v>
      </c>
    </row>
    <row r="256" spans="1:10" ht="23.25" customHeight="1" x14ac:dyDescent="0.25">
      <c r="A256" s="23">
        <v>246</v>
      </c>
      <c r="B256" s="49" t="s">
        <v>2911</v>
      </c>
      <c r="C256" s="15" t="s">
        <v>976</v>
      </c>
      <c r="D256" s="7" t="s">
        <v>1368</v>
      </c>
      <c r="E256" s="14" t="s">
        <v>1127</v>
      </c>
      <c r="F256" s="13" t="s">
        <v>1114</v>
      </c>
      <c r="G256" s="16"/>
      <c r="H256" s="16"/>
      <c r="I256" s="16">
        <v>0.22800000000000001</v>
      </c>
      <c r="J256" s="36">
        <f t="shared" si="3"/>
        <v>0.22800000000000001</v>
      </c>
    </row>
    <row r="257" spans="1:10" ht="34.5" customHeight="1" x14ac:dyDescent="0.25">
      <c r="A257" s="23">
        <v>247</v>
      </c>
      <c r="B257" s="49" t="s">
        <v>2912</v>
      </c>
      <c r="C257" s="15" t="s">
        <v>976</v>
      </c>
      <c r="D257" s="7" t="s">
        <v>1367</v>
      </c>
      <c r="E257" s="14" t="s">
        <v>1127</v>
      </c>
      <c r="F257" s="13" t="s">
        <v>1114</v>
      </c>
      <c r="G257" s="16">
        <v>0.40899999999999997</v>
      </c>
      <c r="H257" s="16">
        <v>0.40899999999999997</v>
      </c>
      <c r="I257" s="16"/>
      <c r="J257" s="36">
        <f t="shared" si="3"/>
        <v>0.40899999999999997</v>
      </c>
    </row>
    <row r="258" spans="1:10" ht="23.25" customHeight="1" x14ac:dyDescent="0.25">
      <c r="A258" s="23">
        <v>248</v>
      </c>
      <c r="B258" s="49" t="s">
        <v>2913</v>
      </c>
      <c r="C258" s="15" t="s">
        <v>39</v>
      </c>
      <c r="D258" s="7" t="s">
        <v>1366</v>
      </c>
      <c r="E258" s="14" t="s">
        <v>1127</v>
      </c>
      <c r="F258" s="13" t="s">
        <v>1114</v>
      </c>
      <c r="G258" s="16">
        <v>0.33500000000000002</v>
      </c>
      <c r="H258" s="16"/>
      <c r="I258" s="16">
        <v>0.66500000000000004</v>
      </c>
      <c r="J258" s="36">
        <f t="shared" si="3"/>
        <v>1</v>
      </c>
    </row>
    <row r="259" spans="1:10" ht="23.25" customHeight="1" x14ac:dyDescent="0.25">
      <c r="A259" s="23">
        <v>249</v>
      </c>
      <c r="B259" s="49" t="s">
        <v>2914</v>
      </c>
      <c r="C259" s="15" t="s">
        <v>39</v>
      </c>
      <c r="D259" s="7" t="s">
        <v>1365</v>
      </c>
      <c r="E259" s="14" t="s">
        <v>1127</v>
      </c>
      <c r="F259" s="13" t="s">
        <v>1114</v>
      </c>
      <c r="G259" s="16"/>
      <c r="H259" s="16"/>
      <c r="I259" s="16">
        <v>1</v>
      </c>
      <c r="J259" s="36">
        <f t="shared" si="3"/>
        <v>1</v>
      </c>
    </row>
    <row r="260" spans="1:10" ht="23.25" customHeight="1" x14ac:dyDescent="0.25">
      <c r="A260" s="23">
        <v>250</v>
      </c>
      <c r="B260" s="49" t="s">
        <v>2915</v>
      </c>
      <c r="C260" s="15" t="s">
        <v>39</v>
      </c>
      <c r="D260" s="7" t="s">
        <v>1364</v>
      </c>
      <c r="E260" s="14" t="s">
        <v>1127</v>
      </c>
      <c r="F260" s="13" t="s">
        <v>1114</v>
      </c>
      <c r="G260" s="16"/>
      <c r="H260" s="16"/>
      <c r="I260" s="16">
        <v>1</v>
      </c>
      <c r="J260" s="36">
        <f t="shared" si="3"/>
        <v>1</v>
      </c>
    </row>
    <row r="261" spans="1:10" ht="31.5" x14ac:dyDescent="0.25">
      <c r="A261" s="23">
        <v>251</v>
      </c>
      <c r="B261" s="49" t="s">
        <v>2916</v>
      </c>
      <c r="C261" s="15" t="s">
        <v>976</v>
      </c>
      <c r="D261" s="7" t="s">
        <v>1363</v>
      </c>
      <c r="E261" s="14" t="s">
        <v>1127</v>
      </c>
      <c r="F261" s="13" t="s">
        <v>1114</v>
      </c>
      <c r="G261" s="16">
        <v>0.14099999999999999</v>
      </c>
      <c r="H261" s="16">
        <v>0.14099999999999999</v>
      </c>
      <c r="I261" s="16"/>
      <c r="J261" s="36">
        <f t="shared" si="3"/>
        <v>0.14099999999999999</v>
      </c>
    </row>
    <row r="262" spans="1:10" ht="37.5" customHeight="1" x14ac:dyDescent="0.25">
      <c r="A262" s="23">
        <v>252</v>
      </c>
      <c r="B262" s="49" t="s">
        <v>2917</v>
      </c>
      <c r="C262" s="15" t="s">
        <v>976</v>
      </c>
      <c r="D262" s="7" t="s">
        <v>1362</v>
      </c>
      <c r="E262" s="14" t="s">
        <v>1127</v>
      </c>
      <c r="F262" s="13" t="s">
        <v>1114</v>
      </c>
      <c r="G262" s="16">
        <v>8.7999999999999995E-2</v>
      </c>
      <c r="H262" s="16">
        <v>8.7999999999999995E-2</v>
      </c>
      <c r="I262" s="16"/>
      <c r="J262" s="36">
        <f t="shared" si="3"/>
        <v>8.7999999999999995E-2</v>
      </c>
    </row>
    <row r="263" spans="1:10" ht="39.75" customHeight="1" x14ac:dyDescent="0.25">
      <c r="A263" s="23">
        <v>253</v>
      </c>
      <c r="B263" s="49" t="s">
        <v>2918</v>
      </c>
      <c r="C263" s="15" t="s">
        <v>39</v>
      </c>
      <c r="D263" s="7" t="s">
        <v>1361</v>
      </c>
      <c r="E263" s="14" t="s">
        <v>1127</v>
      </c>
      <c r="F263" s="13" t="s">
        <v>1114</v>
      </c>
      <c r="G263" s="16">
        <v>0.81200000000000006</v>
      </c>
      <c r="H263" s="16">
        <v>0.81200000000000006</v>
      </c>
      <c r="I263" s="16"/>
      <c r="J263" s="36">
        <f t="shared" si="3"/>
        <v>0.81200000000000006</v>
      </c>
    </row>
    <row r="264" spans="1:10" ht="23.25" customHeight="1" x14ac:dyDescent="0.25">
      <c r="A264" s="23">
        <v>254</v>
      </c>
      <c r="B264" s="49" t="s">
        <v>2919</v>
      </c>
      <c r="C264" s="15" t="s">
        <v>39</v>
      </c>
      <c r="D264" s="7" t="s">
        <v>1360</v>
      </c>
      <c r="E264" s="14" t="s">
        <v>1127</v>
      </c>
      <c r="F264" s="13" t="s">
        <v>1114</v>
      </c>
      <c r="G264" s="16">
        <v>0.65200000000000002</v>
      </c>
      <c r="H264" s="16">
        <v>0.65200000000000002</v>
      </c>
      <c r="I264" s="16"/>
      <c r="J264" s="36">
        <f t="shared" si="3"/>
        <v>0.65200000000000002</v>
      </c>
    </row>
    <row r="265" spans="1:10" ht="47.25" customHeight="1" x14ac:dyDescent="0.25">
      <c r="A265" s="23">
        <v>255</v>
      </c>
      <c r="B265" s="49" t="s">
        <v>2920</v>
      </c>
      <c r="C265" s="15" t="s">
        <v>38</v>
      </c>
      <c r="D265" s="7" t="s">
        <v>1359</v>
      </c>
      <c r="E265" s="14" t="s">
        <v>1127</v>
      </c>
      <c r="F265" s="13" t="s">
        <v>1114</v>
      </c>
      <c r="G265" s="16">
        <v>0.218</v>
      </c>
      <c r="H265" s="16">
        <v>0.218</v>
      </c>
      <c r="I265" s="16"/>
      <c r="J265" s="36">
        <f t="shared" si="3"/>
        <v>0.218</v>
      </c>
    </row>
    <row r="266" spans="1:10" ht="23.25" customHeight="1" x14ac:dyDescent="0.25">
      <c r="A266" s="23">
        <v>256</v>
      </c>
      <c r="B266" s="49" t="s">
        <v>2921</v>
      </c>
      <c r="C266" s="15" t="s">
        <v>39</v>
      </c>
      <c r="D266" s="7" t="s">
        <v>1358</v>
      </c>
      <c r="E266" s="14" t="s">
        <v>1127</v>
      </c>
      <c r="F266" s="13" t="s">
        <v>1114</v>
      </c>
      <c r="G266" s="16"/>
      <c r="H266" s="16"/>
      <c r="I266" s="16">
        <v>0.20200000000000001</v>
      </c>
      <c r="J266" s="36">
        <f t="shared" si="3"/>
        <v>0.20200000000000001</v>
      </c>
    </row>
    <row r="267" spans="1:10" ht="23.25" customHeight="1" x14ac:dyDescent="0.25">
      <c r="A267" s="23">
        <v>257</v>
      </c>
      <c r="B267" s="49" t="s">
        <v>2922</v>
      </c>
      <c r="C267" s="15" t="s">
        <v>39</v>
      </c>
      <c r="D267" s="7" t="s">
        <v>1357</v>
      </c>
      <c r="E267" s="14" t="s">
        <v>1127</v>
      </c>
      <c r="F267" s="13" t="s">
        <v>1114</v>
      </c>
      <c r="G267" s="16">
        <v>0.19800000000000001</v>
      </c>
      <c r="H267" s="16">
        <v>0.19800000000000001</v>
      </c>
      <c r="I267" s="16"/>
      <c r="J267" s="36">
        <f t="shared" ref="J267:J330" si="4">G267+I267</f>
        <v>0.19800000000000001</v>
      </c>
    </row>
    <row r="268" spans="1:10" ht="23.25" customHeight="1" x14ac:dyDescent="0.25">
      <c r="A268" s="23">
        <v>258</v>
      </c>
      <c r="B268" s="49" t="s">
        <v>2923</v>
      </c>
      <c r="C268" s="15" t="s">
        <v>39</v>
      </c>
      <c r="D268" s="7" t="s">
        <v>1356</v>
      </c>
      <c r="E268" s="14" t="s">
        <v>1127</v>
      </c>
      <c r="F268" s="13" t="s">
        <v>1114</v>
      </c>
      <c r="G268" s="16">
        <v>0.217</v>
      </c>
      <c r="H268" s="16">
        <v>0.217</v>
      </c>
      <c r="I268" s="16">
        <v>0.40799999999999997</v>
      </c>
      <c r="J268" s="36">
        <f t="shared" si="4"/>
        <v>0.625</v>
      </c>
    </row>
    <row r="269" spans="1:10" ht="23.25" customHeight="1" x14ac:dyDescent="0.25">
      <c r="A269" s="23">
        <v>259</v>
      </c>
      <c r="B269" s="49" t="s">
        <v>2924</v>
      </c>
      <c r="C269" s="15" t="s">
        <v>39</v>
      </c>
      <c r="D269" s="7" t="s">
        <v>1355</v>
      </c>
      <c r="E269" s="14" t="s">
        <v>1127</v>
      </c>
      <c r="F269" s="13" t="s">
        <v>1114</v>
      </c>
      <c r="G269" s="16"/>
      <c r="H269" s="16"/>
      <c r="I269" s="16">
        <v>0.64800000000000002</v>
      </c>
      <c r="J269" s="36">
        <f t="shared" si="4"/>
        <v>0.64800000000000002</v>
      </c>
    </row>
    <row r="270" spans="1:10" ht="23.25" customHeight="1" x14ac:dyDescent="0.25">
      <c r="A270" s="23">
        <v>260</v>
      </c>
      <c r="B270" s="49" t="s">
        <v>2925</v>
      </c>
      <c r="C270" s="15" t="s">
        <v>39</v>
      </c>
      <c r="D270" s="7" t="s">
        <v>1354</v>
      </c>
      <c r="E270" s="14" t="s">
        <v>1127</v>
      </c>
      <c r="F270" s="13" t="s">
        <v>1114</v>
      </c>
      <c r="G270" s="16"/>
      <c r="H270" s="16"/>
      <c r="I270" s="16">
        <v>0.71299999999999997</v>
      </c>
      <c r="J270" s="36">
        <f t="shared" si="4"/>
        <v>0.71299999999999997</v>
      </c>
    </row>
    <row r="271" spans="1:10" ht="23.25" customHeight="1" x14ac:dyDescent="0.25">
      <c r="A271" s="23">
        <v>261</v>
      </c>
      <c r="B271" s="49" t="s">
        <v>2926</v>
      </c>
      <c r="C271" s="15" t="s">
        <v>39</v>
      </c>
      <c r="D271" s="7" t="s">
        <v>1353</v>
      </c>
      <c r="E271" s="14" t="s">
        <v>1127</v>
      </c>
      <c r="F271" s="13" t="s">
        <v>1114</v>
      </c>
      <c r="G271" s="16">
        <v>0.21099999999999999</v>
      </c>
      <c r="H271" s="16">
        <v>0.21099999999999999</v>
      </c>
      <c r="I271" s="16">
        <v>0.32200000000000001</v>
      </c>
      <c r="J271" s="36">
        <f t="shared" si="4"/>
        <v>0.53300000000000003</v>
      </c>
    </row>
    <row r="272" spans="1:10" ht="23.25" customHeight="1" x14ac:dyDescent="0.25">
      <c r="A272" s="23">
        <v>262</v>
      </c>
      <c r="B272" s="49" t="s">
        <v>2927</v>
      </c>
      <c r="C272" s="15" t="s">
        <v>39</v>
      </c>
      <c r="D272" s="7" t="s">
        <v>1352</v>
      </c>
      <c r="E272" s="14" t="s">
        <v>1127</v>
      </c>
      <c r="F272" s="13" t="s">
        <v>1114</v>
      </c>
      <c r="G272" s="16"/>
      <c r="H272" s="16"/>
      <c r="I272" s="16">
        <v>0.45100000000000001</v>
      </c>
      <c r="J272" s="36">
        <f t="shared" si="4"/>
        <v>0.45100000000000001</v>
      </c>
    </row>
    <row r="273" spans="1:11" ht="23.25" customHeight="1" x14ac:dyDescent="0.25">
      <c r="A273" s="23">
        <v>263</v>
      </c>
      <c r="B273" s="49" t="s">
        <v>2928</v>
      </c>
      <c r="C273" s="15" t="s">
        <v>39</v>
      </c>
      <c r="D273" s="7" t="s">
        <v>1351</v>
      </c>
      <c r="E273" s="14" t="s">
        <v>1127</v>
      </c>
      <c r="F273" s="13" t="s">
        <v>1114</v>
      </c>
      <c r="G273" s="16"/>
      <c r="H273" s="16"/>
      <c r="I273" s="16">
        <v>0.191</v>
      </c>
      <c r="J273" s="36">
        <f t="shared" si="4"/>
        <v>0.191</v>
      </c>
    </row>
    <row r="274" spans="1:11" ht="34.5" customHeight="1" x14ac:dyDescent="0.25">
      <c r="A274" s="23">
        <v>264</v>
      </c>
      <c r="B274" s="49" t="s">
        <v>2929</v>
      </c>
      <c r="C274" s="15" t="s">
        <v>976</v>
      </c>
      <c r="D274" s="7" t="s">
        <v>1350</v>
      </c>
      <c r="E274" s="14" t="s">
        <v>1127</v>
      </c>
      <c r="F274" s="13" t="s">
        <v>1114</v>
      </c>
      <c r="G274" s="16"/>
      <c r="H274" s="16"/>
      <c r="I274" s="16">
        <v>0.222</v>
      </c>
      <c r="J274" s="36">
        <f t="shared" si="4"/>
        <v>0.222</v>
      </c>
    </row>
    <row r="275" spans="1:11" ht="33" customHeight="1" x14ac:dyDescent="0.25">
      <c r="A275" s="23">
        <v>265</v>
      </c>
      <c r="B275" s="49" t="s">
        <v>2930</v>
      </c>
      <c r="C275" s="15" t="s">
        <v>976</v>
      </c>
      <c r="D275" s="7" t="s">
        <v>1349</v>
      </c>
      <c r="E275" s="14" t="s">
        <v>1127</v>
      </c>
      <c r="F275" s="13" t="s">
        <v>1114</v>
      </c>
      <c r="G275" s="16"/>
      <c r="H275" s="16"/>
      <c r="I275" s="16">
        <v>0.14799999999999999</v>
      </c>
      <c r="J275" s="36">
        <f t="shared" si="4"/>
        <v>0.14799999999999999</v>
      </c>
    </row>
    <row r="276" spans="1:11" ht="32.25" customHeight="1" x14ac:dyDescent="0.25">
      <c r="A276" s="23">
        <v>266</v>
      </c>
      <c r="B276" s="49" t="s">
        <v>2931</v>
      </c>
      <c r="C276" s="15" t="s">
        <v>39</v>
      </c>
      <c r="D276" s="7" t="s">
        <v>1348</v>
      </c>
      <c r="E276" s="14" t="s">
        <v>1127</v>
      </c>
      <c r="F276" s="13" t="s">
        <v>1114</v>
      </c>
      <c r="G276" s="16"/>
      <c r="H276" s="16"/>
      <c r="I276" s="16">
        <v>0.72599999999999998</v>
      </c>
      <c r="J276" s="36">
        <f t="shared" si="4"/>
        <v>0.72599999999999998</v>
      </c>
    </row>
    <row r="277" spans="1:11" ht="31.5" x14ac:dyDescent="0.25">
      <c r="A277" s="23">
        <v>267</v>
      </c>
      <c r="B277" s="49" t="s">
        <v>2932</v>
      </c>
      <c r="C277" s="15" t="s">
        <v>38</v>
      </c>
      <c r="D277" s="7" t="s">
        <v>1347</v>
      </c>
      <c r="E277" s="14" t="s">
        <v>1127</v>
      </c>
      <c r="F277" s="13" t="s">
        <v>1114</v>
      </c>
      <c r="G277" s="16">
        <v>0.63500000000000001</v>
      </c>
      <c r="H277" s="16">
        <v>0.63500000000000001</v>
      </c>
      <c r="I277" s="16"/>
      <c r="J277" s="36">
        <f t="shared" si="4"/>
        <v>0.63500000000000001</v>
      </c>
    </row>
    <row r="278" spans="1:11" ht="31.5" x14ac:dyDescent="0.25">
      <c r="A278" s="23">
        <v>268</v>
      </c>
      <c r="B278" s="49" t="s">
        <v>2933</v>
      </c>
      <c r="C278" s="15" t="s">
        <v>38</v>
      </c>
      <c r="D278" s="9" t="s">
        <v>1346</v>
      </c>
      <c r="E278" s="14" t="s">
        <v>1127</v>
      </c>
      <c r="F278" s="13" t="s">
        <v>1114</v>
      </c>
      <c r="G278" s="16"/>
      <c r="H278" s="16"/>
      <c r="I278" s="16">
        <v>1.1719999999999999</v>
      </c>
      <c r="J278" s="36">
        <f t="shared" si="4"/>
        <v>1.1719999999999999</v>
      </c>
    </row>
    <row r="279" spans="1:11" ht="23.25" customHeight="1" x14ac:dyDescent="0.25">
      <c r="A279" s="23">
        <v>269</v>
      </c>
      <c r="B279" s="49" t="s">
        <v>2934</v>
      </c>
      <c r="C279" s="15" t="s">
        <v>39</v>
      </c>
      <c r="D279" s="9" t="s">
        <v>1345</v>
      </c>
      <c r="E279" s="14" t="s">
        <v>1127</v>
      </c>
      <c r="F279" s="13" t="s">
        <v>1114</v>
      </c>
      <c r="G279" s="16">
        <v>4.4080000000000004</v>
      </c>
      <c r="H279" s="16">
        <v>4.4080000000000004</v>
      </c>
      <c r="I279" s="16">
        <v>2.99</v>
      </c>
      <c r="J279" s="36">
        <f t="shared" si="4"/>
        <v>7.3980000000000006</v>
      </c>
    </row>
    <row r="280" spans="1:11" ht="47.25" x14ac:dyDescent="0.25">
      <c r="A280" s="23">
        <v>270</v>
      </c>
      <c r="B280" s="49" t="s">
        <v>2935</v>
      </c>
      <c r="C280" s="15" t="s">
        <v>38</v>
      </c>
      <c r="D280" s="9" t="s">
        <v>1344</v>
      </c>
      <c r="E280" s="14" t="s">
        <v>1127</v>
      </c>
      <c r="F280" s="13" t="s">
        <v>1114</v>
      </c>
      <c r="G280" s="16">
        <v>0.11700000000000001</v>
      </c>
      <c r="H280" s="16">
        <v>0.11700000000000001</v>
      </c>
      <c r="I280" s="16"/>
      <c r="J280" s="36">
        <f t="shared" si="4"/>
        <v>0.11700000000000001</v>
      </c>
    </row>
    <row r="281" spans="1:11" ht="32.25" customHeight="1" x14ac:dyDescent="0.25">
      <c r="A281" s="23">
        <v>271</v>
      </c>
      <c r="B281" s="49" t="s">
        <v>2936</v>
      </c>
      <c r="C281" s="15" t="s">
        <v>38</v>
      </c>
      <c r="D281" s="9" t="s">
        <v>1343</v>
      </c>
      <c r="E281" s="14" t="s">
        <v>1127</v>
      </c>
      <c r="F281" s="13" t="s">
        <v>1114</v>
      </c>
      <c r="G281" s="16">
        <v>0.09</v>
      </c>
      <c r="H281" s="16">
        <v>0.09</v>
      </c>
      <c r="I281" s="16"/>
      <c r="J281" s="36">
        <f t="shared" si="4"/>
        <v>0.09</v>
      </c>
      <c r="K281" s="11"/>
    </row>
    <row r="282" spans="1:11" ht="28.5" customHeight="1" x14ac:dyDescent="0.25">
      <c r="A282" s="23">
        <v>272</v>
      </c>
      <c r="B282" s="49" t="s">
        <v>2937</v>
      </c>
      <c r="C282" s="15" t="s">
        <v>38</v>
      </c>
      <c r="D282" s="9" t="s">
        <v>1342</v>
      </c>
      <c r="E282" s="14" t="s">
        <v>1127</v>
      </c>
      <c r="F282" s="13" t="s">
        <v>1114</v>
      </c>
      <c r="G282" s="16">
        <v>4.4999999999999998E-2</v>
      </c>
      <c r="H282" s="16">
        <v>4.4999999999999998E-2</v>
      </c>
      <c r="I282" s="16"/>
      <c r="J282" s="36">
        <f t="shared" si="4"/>
        <v>4.4999999999999998E-2</v>
      </c>
    </row>
    <row r="283" spans="1:11" ht="33.75" customHeight="1" x14ac:dyDescent="0.25">
      <c r="A283" s="23">
        <v>273</v>
      </c>
      <c r="B283" s="49" t="s">
        <v>2938</v>
      </c>
      <c r="C283" s="15" t="s">
        <v>38</v>
      </c>
      <c r="D283" s="9" t="s">
        <v>1341</v>
      </c>
      <c r="E283" s="14" t="s">
        <v>1127</v>
      </c>
      <c r="F283" s="13" t="s">
        <v>1114</v>
      </c>
      <c r="G283" s="16">
        <v>0.1</v>
      </c>
      <c r="H283" s="16">
        <v>0.1</v>
      </c>
      <c r="I283" s="16"/>
      <c r="J283" s="36">
        <f t="shared" si="4"/>
        <v>0.1</v>
      </c>
    </row>
    <row r="284" spans="1:11" ht="31.5" customHeight="1" x14ac:dyDescent="0.25">
      <c r="A284" s="23">
        <v>274</v>
      </c>
      <c r="B284" s="49" t="s">
        <v>2939</v>
      </c>
      <c r="C284" s="15" t="s">
        <v>38</v>
      </c>
      <c r="D284" s="9" t="s">
        <v>1340</v>
      </c>
      <c r="E284" s="14" t="s">
        <v>1127</v>
      </c>
      <c r="F284" s="13" t="s">
        <v>1114</v>
      </c>
      <c r="G284" s="16">
        <v>0.16</v>
      </c>
      <c r="H284" s="16">
        <v>0.16</v>
      </c>
      <c r="I284" s="16"/>
      <c r="J284" s="36">
        <f t="shared" si="4"/>
        <v>0.16</v>
      </c>
    </row>
    <row r="285" spans="1:11" ht="35.25" customHeight="1" x14ac:dyDescent="0.25">
      <c r="A285" s="23">
        <v>275</v>
      </c>
      <c r="B285" s="49" t="s">
        <v>2940</v>
      </c>
      <c r="C285" s="15" t="s">
        <v>38</v>
      </c>
      <c r="D285" s="9" t="s">
        <v>1339</v>
      </c>
      <c r="E285" s="14" t="s">
        <v>1127</v>
      </c>
      <c r="F285" s="13" t="s">
        <v>1114</v>
      </c>
      <c r="G285" s="16">
        <v>0.13800000000000001</v>
      </c>
      <c r="H285" s="16">
        <v>0.13800000000000001</v>
      </c>
      <c r="I285" s="16"/>
      <c r="J285" s="36">
        <f t="shared" si="4"/>
        <v>0.13800000000000001</v>
      </c>
    </row>
    <row r="286" spans="1:11" ht="23.25" customHeight="1" x14ac:dyDescent="0.25">
      <c r="A286" s="23">
        <v>276</v>
      </c>
      <c r="B286" s="49" t="s">
        <v>2941</v>
      </c>
      <c r="C286" s="15" t="s">
        <v>38</v>
      </c>
      <c r="D286" s="9" t="s">
        <v>1338</v>
      </c>
      <c r="E286" s="14" t="s">
        <v>1127</v>
      </c>
      <c r="F286" s="13" t="s">
        <v>1114</v>
      </c>
      <c r="G286" s="16">
        <v>5.8000000000000003E-2</v>
      </c>
      <c r="H286" s="16">
        <v>5.8000000000000003E-2</v>
      </c>
      <c r="I286" s="16"/>
      <c r="J286" s="36">
        <f t="shared" si="4"/>
        <v>5.8000000000000003E-2</v>
      </c>
    </row>
    <row r="287" spans="1:11" ht="31.5" x14ac:dyDescent="0.25">
      <c r="A287" s="23">
        <v>277</v>
      </c>
      <c r="B287" s="49" t="s">
        <v>2942</v>
      </c>
      <c r="C287" s="15" t="s">
        <v>38</v>
      </c>
      <c r="D287" s="9" t="s">
        <v>1337</v>
      </c>
      <c r="E287" s="14" t="s">
        <v>1127</v>
      </c>
      <c r="F287" s="13" t="s">
        <v>1114</v>
      </c>
      <c r="G287" s="16">
        <v>0.20599999999999999</v>
      </c>
      <c r="H287" s="16">
        <v>0.20599999999999999</v>
      </c>
      <c r="I287" s="16"/>
      <c r="J287" s="36">
        <f t="shared" si="4"/>
        <v>0.20599999999999999</v>
      </c>
    </row>
    <row r="288" spans="1:11" ht="31.5" x14ac:dyDescent="0.25">
      <c r="A288" s="23">
        <v>278</v>
      </c>
      <c r="B288" s="49" t="s">
        <v>2943</v>
      </c>
      <c r="C288" s="15" t="s">
        <v>38</v>
      </c>
      <c r="D288" s="9" t="s">
        <v>1336</v>
      </c>
      <c r="E288" s="14" t="s">
        <v>1127</v>
      </c>
      <c r="F288" s="13" t="s">
        <v>1114</v>
      </c>
      <c r="G288" s="16">
        <v>0.76400000000000001</v>
      </c>
      <c r="H288" s="16">
        <v>0.76400000000000001</v>
      </c>
      <c r="I288" s="16"/>
      <c r="J288" s="36">
        <f t="shared" si="4"/>
        <v>0.76400000000000001</v>
      </c>
    </row>
    <row r="289" spans="1:10" ht="31.5" x14ac:dyDescent="0.25">
      <c r="A289" s="23">
        <v>279</v>
      </c>
      <c r="B289" s="49" t="s">
        <v>2944</v>
      </c>
      <c r="C289" s="15" t="s">
        <v>38</v>
      </c>
      <c r="D289" s="9" t="s">
        <v>1335</v>
      </c>
      <c r="E289" s="14" t="s">
        <v>1127</v>
      </c>
      <c r="F289" s="13" t="s">
        <v>1114</v>
      </c>
      <c r="G289" s="16">
        <v>1.41</v>
      </c>
      <c r="H289" s="16">
        <v>1.41</v>
      </c>
      <c r="I289" s="16"/>
      <c r="J289" s="36">
        <f t="shared" si="4"/>
        <v>1.41</v>
      </c>
    </row>
    <row r="290" spans="1:10" ht="31.5" x14ac:dyDescent="0.25">
      <c r="A290" s="23">
        <v>280</v>
      </c>
      <c r="B290" s="49" t="s">
        <v>2945</v>
      </c>
      <c r="C290" s="15" t="s">
        <v>38</v>
      </c>
      <c r="D290" s="9" t="s">
        <v>1334</v>
      </c>
      <c r="E290" s="14" t="s">
        <v>1127</v>
      </c>
      <c r="F290" s="13" t="s">
        <v>1114</v>
      </c>
      <c r="G290" s="16">
        <v>0.214</v>
      </c>
      <c r="H290" s="16">
        <v>0.214</v>
      </c>
      <c r="I290" s="16"/>
      <c r="J290" s="36">
        <f t="shared" si="4"/>
        <v>0.214</v>
      </c>
    </row>
    <row r="291" spans="1:10" ht="31.5" x14ac:dyDescent="0.25">
      <c r="A291" s="23">
        <v>281</v>
      </c>
      <c r="B291" s="49" t="s">
        <v>2946</v>
      </c>
      <c r="C291" s="15" t="s">
        <v>38</v>
      </c>
      <c r="D291" s="9" t="s">
        <v>1333</v>
      </c>
      <c r="E291" s="14" t="s">
        <v>1127</v>
      </c>
      <c r="F291" s="13" t="s">
        <v>1114</v>
      </c>
      <c r="G291" s="16">
        <v>0.20899999999999999</v>
      </c>
      <c r="H291" s="16">
        <v>0.20899999999999999</v>
      </c>
      <c r="I291" s="16"/>
      <c r="J291" s="36">
        <f t="shared" si="4"/>
        <v>0.20899999999999999</v>
      </c>
    </row>
    <row r="292" spans="1:10" ht="31.5" x14ac:dyDescent="0.25">
      <c r="A292" s="23">
        <v>282</v>
      </c>
      <c r="B292" s="49" t="s">
        <v>2947</v>
      </c>
      <c r="C292" s="15" t="s">
        <v>38</v>
      </c>
      <c r="D292" s="9" t="s">
        <v>1332</v>
      </c>
      <c r="E292" s="14" t="s">
        <v>1127</v>
      </c>
      <c r="F292" s="13" t="s">
        <v>1114</v>
      </c>
      <c r="G292" s="16">
        <v>0.112</v>
      </c>
      <c r="H292" s="16">
        <v>0.112</v>
      </c>
      <c r="I292" s="16"/>
      <c r="J292" s="36">
        <f t="shared" si="4"/>
        <v>0.112</v>
      </c>
    </row>
    <row r="293" spans="1:10" ht="31.5" x14ac:dyDescent="0.25">
      <c r="A293" s="23">
        <v>283</v>
      </c>
      <c r="B293" s="49" t="s">
        <v>2948</v>
      </c>
      <c r="C293" s="15" t="s">
        <v>38</v>
      </c>
      <c r="D293" s="9" t="s">
        <v>1331</v>
      </c>
      <c r="E293" s="14" t="s">
        <v>1127</v>
      </c>
      <c r="F293" s="13" t="s">
        <v>1114</v>
      </c>
      <c r="G293" s="16">
        <v>0.11</v>
      </c>
      <c r="H293" s="16">
        <v>0.11</v>
      </c>
      <c r="I293" s="16"/>
      <c r="J293" s="36">
        <f t="shared" si="4"/>
        <v>0.11</v>
      </c>
    </row>
    <row r="294" spans="1:10" ht="31.5" x14ac:dyDescent="0.25">
      <c r="A294" s="23">
        <v>284</v>
      </c>
      <c r="B294" s="49" t="s">
        <v>2949</v>
      </c>
      <c r="C294" s="15" t="s">
        <v>38</v>
      </c>
      <c r="D294" s="9" t="s">
        <v>1330</v>
      </c>
      <c r="E294" s="14" t="s">
        <v>1127</v>
      </c>
      <c r="F294" s="13" t="s">
        <v>1114</v>
      </c>
      <c r="G294" s="16">
        <v>0.10299999999999999</v>
      </c>
      <c r="H294" s="16">
        <v>0.10299999999999999</v>
      </c>
      <c r="I294" s="16"/>
      <c r="J294" s="36">
        <f t="shared" si="4"/>
        <v>0.10299999999999999</v>
      </c>
    </row>
    <row r="295" spans="1:10" ht="31.5" x14ac:dyDescent="0.25">
      <c r="A295" s="23">
        <v>285</v>
      </c>
      <c r="B295" s="49" t="s">
        <v>2950</v>
      </c>
      <c r="C295" s="15" t="s">
        <v>38</v>
      </c>
      <c r="D295" s="9" t="s">
        <v>1329</v>
      </c>
      <c r="E295" s="14" t="s">
        <v>1127</v>
      </c>
      <c r="F295" s="13" t="s">
        <v>1114</v>
      </c>
      <c r="G295" s="16">
        <v>0.189</v>
      </c>
      <c r="H295" s="16">
        <v>0.189</v>
      </c>
      <c r="I295" s="16"/>
      <c r="J295" s="36">
        <f t="shared" si="4"/>
        <v>0.189</v>
      </c>
    </row>
    <row r="296" spans="1:10" ht="31.5" x14ac:dyDescent="0.25">
      <c r="A296" s="23">
        <v>286</v>
      </c>
      <c r="B296" s="49" t="s">
        <v>2951</v>
      </c>
      <c r="C296" s="15" t="s">
        <v>38</v>
      </c>
      <c r="D296" s="9" t="s">
        <v>1328</v>
      </c>
      <c r="E296" s="14" t="s">
        <v>1127</v>
      </c>
      <c r="F296" s="13" t="s">
        <v>1114</v>
      </c>
      <c r="G296" s="16">
        <v>0.17</v>
      </c>
      <c r="H296" s="16">
        <v>0.17</v>
      </c>
      <c r="I296" s="16"/>
      <c r="J296" s="36">
        <f t="shared" si="4"/>
        <v>0.17</v>
      </c>
    </row>
    <row r="297" spans="1:10" ht="31.5" x14ac:dyDescent="0.25">
      <c r="A297" s="23">
        <v>287</v>
      </c>
      <c r="B297" s="49" t="s">
        <v>2952</v>
      </c>
      <c r="C297" s="15" t="s">
        <v>38</v>
      </c>
      <c r="D297" s="9" t="s">
        <v>1327</v>
      </c>
      <c r="E297" s="14" t="s">
        <v>1127</v>
      </c>
      <c r="F297" s="13" t="s">
        <v>1114</v>
      </c>
      <c r="G297" s="16">
        <v>0.105</v>
      </c>
      <c r="H297" s="16">
        <v>0.105</v>
      </c>
      <c r="I297" s="16"/>
      <c r="J297" s="36">
        <f t="shared" si="4"/>
        <v>0.105</v>
      </c>
    </row>
    <row r="298" spans="1:10" ht="39.75" customHeight="1" x14ac:dyDescent="0.25">
      <c r="A298" s="23">
        <v>288</v>
      </c>
      <c r="B298" s="49" t="s">
        <v>2953</v>
      </c>
      <c r="C298" s="15" t="s">
        <v>38</v>
      </c>
      <c r="D298" s="9" t="s">
        <v>1326</v>
      </c>
      <c r="E298" s="14" t="s">
        <v>1127</v>
      </c>
      <c r="F298" s="13" t="s">
        <v>1114</v>
      </c>
      <c r="G298" s="16">
        <v>0.25</v>
      </c>
      <c r="H298" s="16">
        <v>0.25</v>
      </c>
      <c r="I298" s="16">
        <v>0.33</v>
      </c>
      <c r="J298" s="36">
        <f t="shared" si="4"/>
        <v>0.58000000000000007</v>
      </c>
    </row>
    <row r="299" spans="1:10" ht="31.5" x14ac:dyDescent="0.25">
      <c r="A299" s="23">
        <v>289</v>
      </c>
      <c r="B299" s="49" t="s">
        <v>2954</v>
      </c>
      <c r="C299" s="15" t="s">
        <v>38</v>
      </c>
      <c r="D299" s="9" t="s">
        <v>1325</v>
      </c>
      <c r="E299" s="14" t="s">
        <v>1127</v>
      </c>
      <c r="F299" s="13" t="s">
        <v>1114</v>
      </c>
      <c r="G299" s="16">
        <v>5.1999999999999998E-2</v>
      </c>
      <c r="H299" s="16">
        <v>5.1999999999999998E-2</v>
      </c>
      <c r="I299" s="16"/>
      <c r="J299" s="36">
        <f t="shared" si="4"/>
        <v>5.1999999999999998E-2</v>
      </c>
    </row>
    <row r="300" spans="1:10" ht="31.5" x14ac:dyDescent="0.25">
      <c r="A300" s="23">
        <v>290</v>
      </c>
      <c r="B300" s="49" t="s">
        <v>2955</v>
      </c>
      <c r="C300" s="15" t="s">
        <v>38</v>
      </c>
      <c r="D300" s="9" t="s">
        <v>1324</v>
      </c>
      <c r="E300" s="14" t="s">
        <v>1127</v>
      </c>
      <c r="F300" s="13" t="s">
        <v>1114</v>
      </c>
      <c r="G300" s="16">
        <v>0.1</v>
      </c>
      <c r="H300" s="16">
        <v>0.1</v>
      </c>
      <c r="I300" s="16"/>
      <c r="J300" s="36">
        <f t="shared" si="4"/>
        <v>0.1</v>
      </c>
    </row>
    <row r="301" spans="1:10" ht="31.5" x14ac:dyDescent="0.25">
      <c r="A301" s="23">
        <v>291</v>
      </c>
      <c r="B301" s="49" t="s">
        <v>2956</v>
      </c>
      <c r="C301" s="15" t="s">
        <v>38</v>
      </c>
      <c r="D301" s="9" t="s">
        <v>1323</v>
      </c>
      <c r="E301" s="14" t="s">
        <v>1127</v>
      </c>
      <c r="F301" s="13" t="s">
        <v>1114</v>
      </c>
      <c r="G301" s="16">
        <v>0.218</v>
      </c>
      <c r="H301" s="16">
        <v>0.218</v>
      </c>
      <c r="I301" s="16"/>
      <c r="J301" s="36">
        <f t="shared" si="4"/>
        <v>0.218</v>
      </c>
    </row>
    <row r="302" spans="1:10" ht="31.5" x14ac:dyDescent="0.25">
      <c r="A302" s="23">
        <v>292</v>
      </c>
      <c r="B302" s="49" t="s">
        <v>2957</v>
      </c>
      <c r="C302" s="15" t="s">
        <v>38</v>
      </c>
      <c r="D302" s="9" t="s">
        <v>1322</v>
      </c>
      <c r="E302" s="14" t="s">
        <v>1127</v>
      </c>
      <c r="F302" s="13" t="s">
        <v>1114</v>
      </c>
      <c r="G302" s="16">
        <v>0.10299999999999999</v>
      </c>
      <c r="H302" s="16">
        <v>0.10299999999999999</v>
      </c>
      <c r="I302" s="16"/>
      <c r="J302" s="36">
        <f t="shared" si="4"/>
        <v>0.10299999999999999</v>
      </c>
    </row>
    <row r="303" spans="1:10" ht="31.5" x14ac:dyDescent="0.25">
      <c r="A303" s="23">
        <v>293</v>
      </c>
      <c r="B303" s="49" t="s">
        <v>2958</v>
      </c>
      <c r="C303" s="15" t="s">
        <v>38</v>
      </c>
      <c r="D303" s="9" t="s">
        <v>1321</v>
      </c>
      <c r="E303" s="14" t="s">
        <v>1127</v>
      </c>
      <c r="F303" s="13" t="s">
        <v>1114</v>
      </c>
      <c r="G303" s="16">
        <v>0.129</v>
      </c>
      <c r="H303" s="16">
        <v>0.129</v>
      </c>
      <c r="I303" s="16"/>
      <c r="J303" s="36">
        <f t="shared" si="4"/>
        <v>0.129</v>
      </c>
    </row>
    <row r="304" spans="1:10" ht="31.5" x14ac:dyDescent="0.25">
      <c r="A304" s="23">
        <v>294</v>
      </c>
      <c r="B304" s="49" t="s">
        <v>2959</v>
      </c>
      <c r="C304" s="15" t="s">
        <v>38</v>
      </c>
      <c r="D304" s="9" t="s">
        <v>1320</v>
      </c>
      <c r="E304" s="14" t="s">
        <v>1127</v>
      </c>
      <c r="F304" s="13" t="s">
        <v>1114</v>
      </c>
      <c r="G304" s="16">
        <v>0.27600000000000002</v>
      </c>
      <c r="H304" s="16">
        <v>0.27600000000000002</v>
      </c>
      <c r="I304" s="16"/>
      <c r="J304" s="36">
        <f t="shared" si="4"/>
        <v>0.27600000000000002</v>
      </c>
    </row>
    <row r="305" spans="1:11" ht="31.5" x14ac:dyDescent="0.25">
      <c r="A305" s="23">
        <v>295</v>
      </c>
      <c r="B305" s="49" t="s">
        <v>2960</v>
      </c>
      <c r="C305" s="15" t="s">
        <v>38</v>
      </c>
      <c r="D305" s="9" t="s">
        <v>1319</v>
      </c>
      <c r="E305" s="14" t="s">
        <v>1127</v>
      </c>
      <c r="F305" s="13" t="s">
        <v>1114</v>
      </c>
      <c r="G305" s="16">
        <v>0.4</v>
      </c>
      <c r="H305" s="16">
        <v>0.4</v>
      </c>
      <c r="I305" s="16"/>
      <c r="J305" s="36">
        <f t="shared" si="4"/>
        <v>0.4</v>
      </c>
    </row>
    <row r="306" spans="1:11" ht="47.25" x14ac:dyDescent="0.25">
      <c r="A306" s="23">
        <v>296</v>
      </c>
      <c r="B306" s="49" t="s">
        <v>2961</v>
      </c>
      <c r="C306" s="15" t="s">
        <v>38</v>
      </c>
      <c r="D306" s="9" t="s">
        <v>1318</v>
      </c>
      <c r="E306" s="14" t="s">
        <v>1127</v>
      </c>
      <c r="F306" s="13" t="s">
        <v>1114</v>
      </c>
      <c r="G306" s="16">
        <v>0.14099999999999999</v>
      </c>
      <c r="H306" s="16">
        <v>0.14099999999999999</v>
      </c>
      <c r="I306" s="16"/>
      <c r="J306" s="36">
        <f t="shared" si="4"/>
        <v>0.14099999999999999</v>
      </c>
    </row>
    <row r="307" spans="1:11" ht="47.25" x14ac:dyDescent="0.25">
      <c r="A307" s="23">
        <v>297</v>
      </c>
      <c r="B307" s="49" t="s">
        <v>2962</v>
      </c>
      <c r="C307" s="15" t="s">
        <v>38</v>
      </c>
      <c r="D307" s="9" t="s">
        <v>1317</v>
      </c>
      <c r="E307" s="14" t="s">
        <v>1127</v>
      </c>
      <c r="F307" s="13" t="s">
        <v>1114</v>
      </c>
      <c r="G307" s="16">
        <v>0.33100000000000002</v>
      </c>
      <c r="H307" s="16">
        <v>0.33100000000000002</v>
      </c>
      <c r="I307" s="16">
        <v>0.154</v>
      </c>
      <c r="J307" s="36">
        <f t="shared" si="4"/>
        <v>0.48499999999999999</v>
      </c>
    </row>
    <row r="308" spans="1:11" ht="37.5" customHeight="1" x14ac:dyDescent="0.25">
      <c r="A308" s="23">
        <v>298</v>
      </c>
      <c r="B308" s="49" t="s">
        <v>2963</v>
      </c>
      <c r="C308" s="15" t="s">
        <v>38</v>
      </c>
      <c r="D308" s="9" t="s">
        <v>1316</v>
      </c>
      <c r="E308" s="14" t="s">
        <v>1127</v>
      </c>
      <c r="F308" s="13" t="s">
        <v>1114</v>
      </c>
      <c r="G308" s="16">
        <v>0.32</v>
      </c>
      <c r="H308" s="16">
        <v>0.32</v>
      </c>
      <c r="I308" s="16"/>
      <c r="J308" s="36">
        <f t="shared" si="4"/>
        <v>0.32</v>
      </c>
    </row>
    <row r="309" spans="1:11" ht="31.5" x14ac:dyDescent="0.25">
      <c r="A309" s="23">
        <v>299</v>
      </c>
      <c r="B309" s="49" t="s">
        <v>2964</v>
      </c>
      <c r="C309" s="15" t="s">
        <v>38</v>
      </c>
      <c r="D309" s="9" t="s">
        <v>1315</v>
      </c>
      <c r="E309" s="14" t="s">
        <v>1127</v>
      </c>
      <c r="F309" s="13" t="s">
        <v>1114</v>
      </c>
      <c r="G309" s="16">
        <v>5.5E-2</v>
      </c>
      <c r="H309" s="16">
        <v>5.5E-2</v>
      </c>
      <c r="I309" s="16">
        <v>4.3999999999999997E-2</v>
      </c>
      <c r="J309" s="36">
        <f t="shared" si="4"/>
        <v>9.9000000000000005E-2</v>
      </c>
    </row>
    <row r="310" spans="1:11" ht="31.5" x14ac:dyDescent="0.25">
      <c r="A310" s="23">
        <v>300</v>
      </c>
      <c r="B310" s="49" t="s">
        <v>2965</v>
      </c>
      <c r="C310" s="15" t="s">
        <v>38</v>
      </c>
      <c r="D310" s="9" t="s">
        <v>1314</v>
      </c>
      <c r="E310" s="14" t="s">
        <v>1127</v>
      </c>
      <c r="F310" s="13" t="s">
        <v>1114</v>
      </c>
      <c r="G310" s="16">
        <v>0.1</v>
      </c>
      <c r="H310" s="16">
        <v>0.1</v>
      </c>
      <c r="I310" s="16"/>
      <c r="J310" s="36">
        <f t="shared" si="4"/>
        <v>0.1</v>
      </c>
    </row>
    <row r="311" spans="1:11" ht="31.5" x14ac:dyDescent="0.25">
      <c r="A311" s="23">
        <v>301</v>
      </c>
      <c r="B311" s="49" t="s">
        <v>2966</v>
      </c>
      <c r="C311" s="15" t="s">
        <v>38</v>
      </c>
      <c r="D311" s="9" t="s">
        <v>1313</v>
      </c>
      <c r="E311" s="14" t="s">
        <v>1127</v>
      </c>
      <c r="F311" s="13" t="s">
        <v>1114</v>
      </c>
      <c r="G311" s="16">
        <v>0.43</v>
      </c>
      <c r="H311" s="16">
        <v>0.43</v>
      </c>
      <c r="I311" s="16"/>
      <c r="J311" s="36">
        <f t="shared" si="4"/>
        <v>0.43</v>
      </c>
    </row>
    <row r="312" spans="1:11" ht="31.5" x14ac:dyDescent="0.25">
      <c r="A312" s="23">
        <v>302</v>
      </c>
      <c r="B312" s="49" t="s">
        <v>2967</v>
      </c>
      <c r="C312" s="15" t="s">
        <v>38</v>
      </c>
      <c r="D312" s="9" t="s">
        <v>1312</v>
      </c>
      <c r="E312" s="14" t="s">
        <v>1127</v>
      </c>
      <c r="F312" s="13" t="s">
        <v>1114</v>
      </c>
      <c r="G312" s="16">
        <v>0.184</v>
      </c>
      <c r="H312" s="16">
        <v>0.184</v>
      </c>
      <c r="I312" s="16"/>
      <c r="J312" s="36">
        <f t="shared" si="4"/>
        <v>0.184</v>
      </c>
    </row>
    <row r="313" spans="1:11" ht="31.5" x14ac:dyDescent="0.25">
      <c r="A313" s="23">
        <v>303</v>
      </c>
      <c r="B313" s="49" t="s">
        <v>2968</v>
      </c>
      <c r="C313" s="15" t="s">
        <v>38</v>
      </c>
      <c r="D313" s="9" t="s">
        <v>1311</v>
      </c>
      <c r="E313" s="14" t="s">
        <v>1127</v>
      </c>
      <c r="F313" s="13" t="s">
        <v>1114</v>
      </c>
      <c r="G313" s="16">
        <v>0.23699999999999999</v>
      </c>
      <c r="H313" s="16">
        <v>0.23699999999999999</v>
      </c>
      <c r="I313" s="16"/>
      <c r="J313" s="36">
        <f t="shared" si="4"/>
        <v>0.23699999999999999</v>
      </c>
    </row>
    <row r="314" spans="1:11" ht="31.5" customHeight="1" x14ac:dyDescent="0.25">
      <c r="A314" s="23">
        <v>304</v>
      </c>
      <c r="B314" s="49" t="s">
        <v>2969</v>
      </c>
      <c r="C314" s="15" t="s">
        <v>38</v>
      </c>
      <c r="D314" s="9" t="s">
        <v>1310</v>
      </c>
      <c r="E314" s="14" t="s">
        <v>1127</v>
      </c>
      <c r="F314" s="13" t="s">
        <v>1114</v>
      </c>
      <c r="G314" s="16">
        <v>7.1999999999999995E-2</v>
      </c>
      <c r="H314" s="16">
        <v>7.1999999999999995E-2</v>
      </c>
      <c r="I314" s="16"/>
      <c r="J314" s="36">
        <f t="shared" si="4"/>
        <v>7.1999999999999995E-2</v>
      </c>
    </row>
    <row r="315" spans="1:11" ht="31.5" x14ac:dyDescent="0.25">
      <c r="A315" s="23">
        <v>305</v>
      </c>
      <c r="B315" s="49" t="s">
        <v>2970</v>
      </c>
      <c r="C315" s="15" t="s">
        <v>38</v>
      </c>
      <c r="D315" s="9" t="s">
        <v>1309</v>
      </c>
      <c r="E315" s="14" t="s">
        <v>1127</v>
      </c>
      <c r="F315" s="13" t="s">
        <v>1114</v>
      </c>
      <c r="G315" s="16">
        <v>0.183</v>
      </c>
      <c r="H315" s="16">
        <v>0.183</v>
      </c>
      <c r="I315" s="16"/>
      <c r="J315" s="36">
        <f t="shared" si="4"/>
        <v>0.183</v>
      </c>
    </row>
    <row r="316" spans="1:11" ht="31.5" x14ac:dyDescent="0.25">
      <c r="A316" s="23">
        <v>306</v>
      </c>
      <c r="B316" s="49" t="s">
        <v>2971</v>
      </c>
      <c r="C316" s="15" t="s">
        <v>38</v>
      </c>
      <c r="D316" s="9" t="s">
        <v>1308</v>
      </c>
      <c r="E316" s="14" t="s">
        <v>1127</v>
      </c>
      <c r="F316" s="13" t="s">
        <v>1114</v>
      </c>
      <c r="G316" s="16">
        <v>0.39</v>
      </c>
      <c r="H316" s="16">
        <v>0.39</v>
      </c>
      <c r="I316" s="16"/>
      <c r="J316" s="36">
        <f t="shared" si="4"/>
        <v>0.39</v>
      </c>
    </row>
    <row r="317" spans="1:11" ht="31.5" x14ac:dyDescent="0.25">
      <c r="A317" s="23">
        <v>307</v>
      </c>
      <c r="B317" s="49" t="s">
        <v>2972</v>
      </c>
      <c r="C317" s="15" t="s">
        <v>38</v>
      </c>
      <c r="D317" s="9" t="s">
        <v>1307</v>
      </c>
      <c r="E317" s="14" t="s">
        <v>1127</v>
      </c>
      <c r="F317" s="13" t="s">
        <v>1114</v>
      </c>
      <c r="G317" s="16">
        <v>0.23699999999999999</v>
      </c>
      <c r="H317" s="16">
        <v>0.23699999999999999</v>
      </c>
      <c r="I317" s="16"/>
      <c r="J317" s="36">
        <f t="shared" si="4"/>
        <v>0.23699999999999999</v>
      </c>
    </row>
    <row r="318" spans="1:11" ht="31.5" x14ac:dyDescent="0.25">
      <c r="A318" s="23">
        <v>308</v>
      </c>
      <c r="B318" s="49" t="s">
        <v>2973</v>
      </c>
      <c r="C318" s="15" t="s">
        <v>38</v>
      </c>
      <c r="D318" s="9" t="s">
        <v>1306</v>
      </c>
      <c r="E318" s="14" t="s">
        <v>1127</v>
      </c>
      <c r="F318" s="13" t="s">
        <v>1114</v>
      </c>
      <c r="G318" s="16">
        <v>5.2999999999999999E-2</v>
      </c>
      <c r="H318" s="16">
        <v>5.2999999999999999E-2</v>
      </c>
      <c r="I318" s="16"/>
      <c r="J318" s="36">
        <f t="shared" si="4"/>
        <v>5.2999999999999999E-2</v>
      </c>
      <c r="K318" s="11"/>
    </row>
    <row r="319" spans="1:11" ht="31.5" x14ac:dyDescent="0.25">
      <c r="A319" s="23">
        <v>309</v>
      </c>
      <c r="B319" s="49" t="s">
        <v>2974</v>
      </c>
      <c r="C319" s="15" t="s">
        <v>38</v>
      </c>
      <c r="D319" s="9" t="s">
        <v>1305</v>
      </c>
      <c r="E319" s="14" t="s">
        <v>1127</v>
      </c>
      <c r="F319" s="13" t="s">
        <v>1114</v>
      </c>
      <c r="G319" s="16">
        <v>0.23799999999999999</v>
      </c>
      <c r="H319" s="16">
        <v>0.23799999999999999</v>
      </c>
      <c r="I319" s="16"/>
      <c r="J319" s="36">
        <f t="shared" si="4"/>
        <v>0.23799999999999999</v>
      </c>
    </row>
    <row r="320" spans="1:11" ht="33.75" customHeight="1" x14ac:dyDescent="0.25">
      <c r="A320" s="23">
        <v>310</v>
      </c>
      <c r="B320" s="49" t="s">
        <v>2975</v>
      </c>
      <c r="C320" s="15" t="s">
        <v>38</v>
      </c>
      <c r="D320" s="9" t="s">
        <v>1304</v>
      </c>
      <c r="E320" s="14" t="s">
        <v>1127</v>
      </c>
      <c r="F320" s="13" t="s">
        <v>1114</v>
      </c>
      <c r="G320" s="16">
        <v>0.27</v>
      </c>
      <c r="H320" s="16">
        <v>0.27</v>
      </c>
      <c r="I320" s="16"/>
      <c r="J320" s="36">
        <f t="shared" si="4"/>
        <v>0.27</v>
      </c>
    </row>
    <row r="321" spans="1:10" ht="33.75" customHeight="1" x14ac:dyDescent="0.25">
      <c r="A321" s="23">
        <v>311</v>
      </c>
      <c r="B321" s="49" t="s">
        <v>2976</v>
      </c>
      <c r="C321" s="15" t="s">
        <v>38</v>
      </c>
      <c r="D321" s="9" t="s">
        <v>1303</v>
      </c>
      <c r="E321" s="14" t="s">
        <v>1127</v>
      </c>
      <c r="F321" s="13" t="s">
        <v>1114</v>
      </c>
      <c r="G321" s="16">
        <v>0.03</v>
      </c>
      <c r="H321" s="16">
        <v>0.03</v>
      </c>
      <c r="I321" s="16"/>
      <c r="J321" s="36">
        <f t="shared" si="4"/>
        <v>0.03</v>
      </c>
    </row>
    <row r="322" spans="1:10" ht="23.25" customHeight="1" x14ac:dyDescent="0.25">
      <c r="A322" s="23">
        <v>312</v>
      </c>
      <c r="B322" s="49" t="s">
        <v>2977</v>
      </c>
      <c r="C322" s="15" t="s">
        <v>38</v>
      </c>
      <c r="D322" s="9" t="s">
        <v>1302</v>
      </c>
      <c r="E322" s="14" t="s">
        <v>1127</v>
      </c>
      <c r="F322" s="13" t="s">
        <v>1114</v>
      </c>
      <c r="G322" s="16">
        <v>0.22800000000000001</v>
      </c>
      <c r="H322" s="16">
        <v>0.22800000000000001</v>
      </c>
      <c r="I322" s="16"/>
      <c r="J322" s="36">
        <f t="shared" si="4"/>
        <v>0.22800000000000001</v>
      </c>
    </row>
    <row r="323" spans="1:10" ht="23.25" customHeight="1" x14ac:dyDescent="0.25">
      <c r="A323" s="23">
        <v>313</v>
      </c>
      <c r="B323" s="49" t="s">
        <v>2978</v>
      </c>
      <c r="C323" s="15" t="s">
        <v>38</v>
      </c>
      <c r="D323" s="9" t="s">
        <v>1301</v>
      </c>
      <c r="E323" s="14" t="s">
        <v>1127</v>
      </c>
      <c r="F323" s="13" t="s">
        <v>1114</v>
      </c>
      <c r="G323" s="16">
        <v>0.58199999999999996</v>
      </c>
      <c r="H323" s="16">
        <v>0.58199999999999996</v>
      </c>
      <c r="I323" s="16"/>
      <c r="J323" s="36">
        <f t="shared" si="4"/>
        <v>0.58199999999999996</v>
      </c>
    </row>
    <row r="324" spans="1:10" ht="33" customHeight="1" x14ac:dyDescent="0.25">
      <c r="A324" s="23">
        <v>314</v>
      </c>
      <c r="B324" s="49" t="s">
        <v>2979</v>
      </c>
      <c r="C324" s="15" t="s">
        <v>38</v>
      </c>
      <c r="D324" s="9" t="s">
        <v>1300</v>
      </c>
      <c r="E324" s="14" t="s">
        <v>1127</v>
      </c>
      <c r="F324" s="13" t="s">
        <v>1114</v>
      </c>
      <c r="G324" s="16">
        <v>0.45300000000000001</v>
      </c>
      <c r="H324" s="16">
        <v>0.45300000000000001</v>
      </c>
      <c r="I324" s="16"/>
      <c r="J324" s="36">
        <f t="shared" si="4"/>
        <v>0.45300000000000001</v>
      </c>
    </row>
    <row r="325" spans="1:10" ht="23.25" customHeight="1" x14ac:dyDescent="0.25">
      <c r="A325" s="23">
        <v>315</v>
      </c>
      <c r="B325" s="49" t="s">
        <v>2980</v>
      </c>
      <c r="C325" s="15" t="s">
        <v>38</v>
      </c>
      <c r="D325" s="9" t="s">
        <v>1299</v>
      </c>
      <c r="E325" s="14" t="s">
        <v>1127</v>
      </c>
      <c r="F325" s="13" t="s">
        <v>1114</v>
      </c>
      <c r="G325" s="16">
        <v>0.42599999999999999</v>
      </c>
      <c r="H325" s="16">
        <v>0.42599999999999999</v>
      </c>
      <c r="I325" s="16"/>
      <c r="J325" s="36">
        <f t="shared" si="4"/>
        <v>0.42599999999999999</v>
      </c>
    </row>
    <row r="326" spans="1:10" ht="33" customHeight="1" x14ac:dyDescent="0.25">
      <c r="A326" s="23">
        <v>316</v>
      </c>
      <c r="B326" s="49" t="s">
        <v>2981</v>
      </c>
      <c r="C326" s="15" t="s">
        <v>38</v>
      </c>
      <c r="D326" s="9" t="s">
        <v>1298</v>
      </c>
      <c r="E326" s="14" t="s">
        <v>1127</v>
      </c>
      <c r="F326" s="13" t="s">
        <v>1114</v>
      </c>
      <c r="G326" s="16">
        <v>0.16</v>
      </c>
      <c r="H326" s="16">
        <v>0.16</v>
      </c>
      <c r="I326" s="16"/>
      <c r="J326" s="36">
        <f t="shared" si="4"/>
        <v>0.16</v>
      </c>
    </row>
    <row r="327" spans="1:10" ht="31.5" x14ac:dyDescent="0.25">
      <c r="A327" s="23">
        <v>317</v>
      </c>
      <c r="B327" s="49" t="s">
        <v>2982</v>
      </c>
      <c r="C327" s="15" t="s">
        <v>38</v>
      </c>
      <c r="D327" s="9" t="s">
        <v>1297</v>
      </c>
      <c r="E327" s="14" t="s">
        <v>1127</v>
      </c>
      <c r="F327" s="13" t="s">
        <v>1114</v>
      </c>
      <c r="G327" s="16">
        <v>0.36099999999999999</v>
      </c>
      <c r="H327" s="16">
        <v>0.36099999999999999</v>
      </c>
      <c r="I327" s="16"/>
      <c r="J327" s="36">
        <f t="shared" si="4"/>
        <v>0.36099999999999999</v>
      </c>
    </row>
    <row r="328" spans="1:10" ht="31.5" x14ac:dyDescent="0.25">
      <c r="A328" s="23">
        <v>318</v>
      </c>
      <c r="B328" s="49" t="s">
        <v>2983</v>
      </c>
      <c r="C328" s="15" t="s">
        <v>38</v>
      </c>
      <c r="D328" s="9" t="s">
        <v>1296</v>
      </c>
      <c r="E328" s="14" t="s">
        <v>1127</v>
      </c>
      <c r="F328" s="13" t="s">
        <v>1114</v>
      </c>
      <c r="G328" s="16">
        <v>0.1</v>
      </c>
      <c r="H328" s="16">
        <v>0.1</v>
      </c>
      <c r="I328" s="16"/>
      <c r="J328" s="36">
        <f t="shared" si="4"/>
        <v>0.1</v>
      </c>
    </row>
    <row r="329" spans="1:10" ht="31.5" x14ac:dyDescent="0.25">
      <c r="A329" s="23">
        <v>319</v>
      </c>
      <c r="B329" s="49" t="s">
        <v>2984</v>
      </c>
      <c r="C329" s="15" t="s">
        <v>38</v>
      </c>
      <c r="D329" s="9" t="s">
        <v>1295</v>
      </c>
      <c r="E329" s="14" t="s">
        <v>1127</v>
      </c>
      <c r="F329" s="13" t="s">
        <v>1114</v>
      </c>
      <c r="G329" s="16">
        <v>0.23499999999999999</v>
      </c>
      <c r="H329" s="16">
        <v>0.23499999999999999</v>
      </c>
      <c r="I329" s="16"/>
      <c r="J329" s="36">
        <f t="shared" si="4"/>
        <v>0.23499999999999999</v>
      </c>
    </row>
    <row r="330" spans="1:10" ht="31.5" x14ac:dyDescent="0.25">
      <c r="A330" s="23">
        <v>320</v>
      </c>
      <c r="B330" s="49" t="s">
        <v>2985</v>
      </c>
      <c r="C330" s="15" t="s">
        <v>38</v>
      </c>
      <c r="D330" s="9" t="s">
        <v>1294</v>
      </c>
      <c r="E330" s="14" t="s">
        <v>1127</v>
      </c>
      <c r="F330" s="13" t="s">
        <v>1114</v>
      </c>
      <c r="G330" s="16">
        <v>0.37</v>
      </c>
      <c r="H330" s="16">
        <v>0.37</v>
      </c>
      <c r="I330" s="16"/>
      <c r="J330" s="36">
        <f t="shared" si="4"/>
        <v>0.37</v>
      </c>
    </row>
    <row r="331" spans="1:10" ht="31.5" x14ac:dyDescent="0.25">
      <c r="A331" s="23">
        <v>321</v>
      </c>
      <c r="B331" s="49" t="s">
        <v>2986</v>
      </c>
      <c r="C331" s="15" t="s">
        <v>38</v>
      </c>
      <c r="D331" s="9" t="s">
        <v>1293</v>
      </c>
      <c r="E331" s="14" t="s">
        <v>1127</v>
      </c>
      <c r="F331" s="13" t="s">
        <v>1114</v>
      </c>
      <c r="G331" s="16">
        <v>0.38900000000000001</v>
      </c>
      <c r="H331" s="16">
        <v>0.38900000000000001</v>
      </c>
      <c r="I331" s="16"/>
      <c r="J331" s="36">
        <f t="shared" ref="J331:J394" si="5">G331+I331</f>
        <v>0.38900000000000001</v>
      </c>
    </row>
    <row r="332" spans="1:10" ht="31.5" x14ac:dyDescent="0.25">
      <c r="A332" s="23">
        <v>322</v>
      </c>
      <c r="B332" s="49" t="s">
        <v>2987</v>
      </c>
      <c r="C332" s="15" t="s">
        <v>38</v>
      </c>
      <c r="D332" s="9" t="s">
        <v>1292</v>
      </c>
      <c r="E332" s="14" t="s">
        <v>1127</v>
      </c>
      <c r="F332" s="13" t="s">
        <v>1114</v>
      </c>
      <c r="G332" s="16">
        <v>0.60699999999999998</v>
      </c>
      <c r="H332" s="16">
        <v>0.60699999999999998</v>
      </c>
      <c r="I332" s="16"/>
      <c r="J332" s="36">
        <f t="shared" si="5"/>
        <v>0.60699999999999998</v>
      </c>
    </row>
    <row r="333" spans="1:10" ht="31.5" x14ac:dyDescent="0.25">
      <c r="A333" s="23">
        <v>323</v>
      </c>
      <c r="B333" s="49" t="s">
        <v>2988</v>
      </c>
      <c r="C333" s="15" t="s">
        <v>38</v>
      </c>
      <c r="D333" s="9" t="s">
        <v>1291</v>
      </c>
      <c r="E333" s="14" t="s">
        <v>1127</v>
      </c>
      <c r="F333" s="13" t="s">
        <v>1114</v>
      </c>
      <c r="G333" s="16">
        <v>0.16200000000000001</v>
      </c>
      <c r="H333" s="16">
        <v>0.16200000000000001</v>
      </c>
      <c r="I333" s="16"/>
      <c r="J333" s="36">
        <f t="shared" si="5"/>
        <v>0.16200000000000001</v>
      </c>
    </row>
    <row r="334" spans="1:10" ht="31.5" x14ac:dyDescent="0.25">
      <c r="A334" s="23">
        <v>324</v>
      </c>
      <c r="B334" s="49" t="s">
        <v>2989</v>
      </c>
      <c r="C334" s="15" t="s">
        <v>38</v>
      </c>
      <c r="D334" s="9" t="s">
        <v>1290</v>
      </c>
      <c r="E334" s="14" t="s">
        <v>1127</v>
      </c>
      <c r="F334" s="13" t="s">
        <v>1114</v>
      </c>
      <c r="G334" s="16">
        <v>0.17299999999999999</v>
      </c>
      <c r="H334" s="16">
        <v>0.17299999999999999</v>
      </c>
      <c r="I334" s="16">
        <v>6.9000000000000006E-2</v>
      </c>
      <c r="J334" s="36">
        <f t="shared" si="5"/>
        <v>0.24199999999999999</v>
      </c>
    </row>
    <row r="335" spans="1:10" ht="31.5" x14ac:dyDescent="0.25">
      <c r="A335" s="23">
        <v>325</v>
      </c>
      <c r="B335" s="49" t="s">
        <v>2990</v>
      </c>
      <c r="C335" s="15" t="s">
        <v>38</v>
      </c>
      <c r="D335" s="9" t="s">
        <v>1289</v>
      </c>
      <c r="E335" s="14" t="s">
        <v>1127</v>
      </c>
      <c r="F335" s="13" t="s">
        <v>1114</v>
      </c>
      <c r="G335" s="16">
        <v>8.7999999999999995E-2</v>
      </c>
      <c r="H335" s="16">
        <v>8.7999999999999995E-2</v>
      </c>
      <c r="I335" s="16"/>
      <c r="J335" s="36">
        <f t="shared" si="5"/>
        <v>8.7999999999999995E-2</v>
      </c>
    </row>
    <row r="336" spans="1:10" ht="31.5" x14ac:dyDescent="0.25">
      <c r="A336" s="23">
        <v>326</v>
      </c>
      <c r="B336" s="49" t="s">
        <v>2991</v>
      </c>
      <c r="C336" s="15" t="s">
        <v>38</v>
      </c>
      <c r="D336" s="9" t="s">
        <v>1288</v>
      </c>
      <c r="E336" s="14" t="s">
        <v>1127</v>
      </c>
      <c r="F336" s="13" t="s">
        <v>1114</v>
      </c>
      <c r="G336" s="16">
        <v>0.23300000000000001</v>
      </c>
      <c r="H336" s="16">
        <v>0.23300000000000001</v>
      </c>
      <c r="I336" s="16"/>
      <c r="J336" s="36">
        <f t="shared" si="5"/>
        <v>0.23300000000000001</v>
      </c>
    </row>
    <row r="337" spans="1:10" ht="31.5" x14ac:dyDescent="0.25">
      <c r="A337" s="23">
        <v>327</v>
      </c>
      <c r="B337" s="49" t="s">
        <v>2992</v>
      </c>
      <c r="C337" s="15" t="s">
        <v>38</v>
      </c>
      <c r="D337" s="9" t="s">
        <v>1287</v>
      </c>
      <c r="E337" s="14" t="s">
        <v>1127</v>
      </c>
      <c r="F337" s="13" t="s">
        <v>1114</v>
      </c>
      <c r="G337" s="16">
        <v>0.752</v>
      </c>
      <c r="H337" s="16">
        <v>0.752</v>
      </c>
      <c r="I337" s="16">
        <v>0.53200000000000003</v>
      </c>
      <c r="J337" s="36">
        <f t="shared" si="5"/>
        <v>1.284</v>
      </c>
    </row>
    <row r="338" spans="1:10" ht="31.5" x14ac:dyDescent="0.25">
      <c r="A338" s="23">
        <v>328</v>
      </c>
      <c r="B338" s="49" t="s">
        <v>2993</v>
      </c>
      <c r="C338" s="15" t="s">
        <v>38</v>
      </c>
      <c r="D338" s="9" t="s">
        <v>1286</v>
      </c>
      <c r="E338" s="14" t="s">
        <v>1127</v>
      </c>
      <c r="F338" s="13" t="s">
        <v>1114</v>
      </c>
      <c r="G338" s="16">
        <v>0.45300000000000001</v>
      </c>
      <c r="H338" s="16">
        <v>0.45300000000000001</v>
      </c>
      <c r="I338" s="16">
        <v>1.7230000000000001</v>
      </c>
      <c r="J338" s="36">
        <f t="shared" si="5"/>
        <v>2.1760000000000002</v>
      </c>
    </row>
    <row r="339" spans="1:10" ht="31.5" x14ac:dyDescent="0.25">
      <c r="A339" s="23">
        <v>329</v>
      </c>
      <c r="B339" s="49" t="s">
        <v>2994</v>
      </c>
      <c r="C339" s="15" t="s">
        <v>38</v>
      </c>
      <c r="D339" s="9" t="s">
        <v>1285</v>
      </c>
      <c r="E339" s="14" t="s">
        <v>1127</v>
      </c>
      <c r="F339" s="13" t="s">
        <v>1114</v>
      </c>
      <c r="G339" s="16">
        <v>1.0269999999999999</v>
      </c>
      <c r="H339" s="16">
        <v>1.0269999999999999</v>
      </c>
      <c r="I339" s="16">
        <v>0.45500000000000002</v>
      </c>
      <c r="J339" s="36">
        <f t="shared" si="5"/>
        <v>1.482</v>
      </c>
    </row>
    <row r="340" spans="1:10" ht="31.5" x14ac:dyDescent="0.25">
      <c r="A340" s="23">
        <v>330</v>
      </c>
      <c r="B340" s="49" t="s">
        <v>2995</v>
      </c>
      <c r="C340" s="15" t="s">
        <v>38</v>
      </c>
      <c r="D340" s="9" t="s">
        <v>1284</v>
      </c>
      <c r="E340" s="14" t="s">
        <v>1127</v>
      </c>
      <c r="F340" s="13" t="s">
        <v>1114</v>
      </c>
      <c r="G340" s="16">
        <v>0.495</v>
      </c>
      <c r="H340" s="16">
        <v>0.495</v>
      </c>
      <c r="I340" s="16"/>
      <c r="J340" s="36">
        <f t="shared" si="5"/>
        <v>0.495</v>
      </c>
    </row>
    <row r="341" spans="1:10" ht="31.5" x14ac:dyDescent="0.25">
      <c r="A341" s="23">
        <v>331</v>
      </c>
      <c r="B341" s="49" t="s">
        <v>2996</v>
      </c>
      <c r="C341" s="15" t="s">
        <v>38</v>
      </c>
      <c r="D341" s="9" t="s">
        <v>1283</v>
      </c>
      <c r="E341" s="14" t="s">
        <v>1127</v>
      </c>
      <c r="F341" s="13" t="s">
        <v>1114</v>
      </c>
      <c r="G341" s="16"/>
      <c r="H341" s="16"/>
      <c r="I341" s="16">
        <v>0.57899999999999996</v>
      </c>
      <c r="J341" s="36">
        <f t="shared" si="5"/>
        <v>0.57899999999999996</v>
      </c>
    </row>
    <row r="342" spans="1:10" ht="31.5" x14ac:dyDescent="0.25">
      <c r="A342" s="23">
        <v>332</v>
      </c>
      <c r="B342" s="49" t="s">
        <v>2997</v>
      </c>
      <c r="C342" s="15" t="s">
        <v>1217</v>
      </c>
      <c r="D342" s="9" t="s">
        <v>1282</v>
      </c>
      <c r="E342" s="14" t="s">
        <v>1127</v>
      </c>
      <c r="F342" s="13" t="s">
        <v>1114</v>
      </c>
      <c r="G342" s="16">
        <v>0.4</v>
      </c>
      <c r="H342" s="16">
        <v>0.4</v>
      </c>
      <c r="I342" s="16"/>
      <c r="J342" s="36">
        <f t="shared" si="5"/>
        <v>0.4</v>
      </c>
    </row>
    <row r="343" spans="1:10" ht="31.5" x14ac:dyDescent="0.25">
      <c r="A343" s="23">
        <v>333</v>
      </c>
      <c r="B343" s="49" t="s">
        <v>2998</v>
      </c>
      <c r="C343" s="15" t="s">
        <v>1217</v>
      </c>
      <c r="D343" s="9" t="s">
        <v>1281</v>
      </c>
      <c r="E343" s="14" t="s">
        <v>1127</v>
      </c>
      <c r="F343" s="13" t="s">
        <v>1114</v>
      </c>
      <c r="G343" s="16">
        <v>0.68</v>
      </c>
      <c r="H343" s="16">
        <v>0.68</v>
      </c>
      <c r="I343" s="16"/>
      <c r="J343" s="36">
        <f t="shared" si="5"/>
        <v>0.68</v>
      </c>
    </row>
    <row r="344" spans="1:10" ht="31.5" x14ac:dyDescent="0.25">
      <c r="A344" s="23">
        <v>334</v>
      </c>
      <c r="B344" s="49" t="s">
        <v>2999</v>
      </c>
      <c r="C344" s="15" t="s">
        <v>1217</v>
      </c>
      <c r="D344" s="9" t="s">
        <v>1280</v>
      </c>
      <c r="E344" s="14" t="s">
        <v>1127</v>
      </c>
      <c r="F344" s="13" t="s">
        <v>1114</v>
      </c>
      <c r="G344" s="16">
        <v>0.85</v>
      </c>
      <c r="H344" s="16">
        <v>0.85</v>
      </c>
      <c r="I344" s="16"/>
      <c r="J344" s="36">
        <f t="shared" si="5"/>
        <v>0.85</v>
      </c>
    </row>
    <row r="345" spans="1:10" ht="31.5" x14ac:dyDescent="0.25">
      <c r="A345" s="23">
        <v>335</v>
      </c>
      <c r="B345" s="49" t="s">
        <v>3000</v>
      </c>
      <c r="C345" s="15" t="s">
        <v>1217</v>
      </c>
      <c r="D345" s="9" t="s">
        <v>1279</v>
      </c>
      <c r="E345" s="14" t="s">
        <v>1127</v>
      </c>
      <c r="F345" s="13" t="s">
        <v>1114</v>
      </c>
      <c r="G345" s="16">
        <v>0.16700000000000001</v>
      </c>
      <c r="H345" s="16">
        <v>0.16700000000000001</v>
      </c>
      <c r="I345" s="16"/>
      <c r="J345" s="36">
        <f t="shared" si="5"/>
        <v>0.16700000000000001</v>
      </c>
    </row>
    <row r="346" spans="1:10" ht="31.5" x14ac:dyDescent="0.25">
      <c r="A346" s="23">
        <v>336</v>
      </c>
      <c r="B346" s="49" t="s">
        <v>3001</v>
      </c>
      <c r="C346" s="15" t="s">
        <v>38</v>
      </c>
      <c r="D346" s="9" t="s">
        <v>1278</v>
      </c>
      <c r="E346" s="14" t="s">
        <v>1127</v>
      </c>
      <c r="F346" s="13" t="s">
        <v>1114</v>
      </c>
      <c r="G346" s="16">
        <v>0.45600000000000002</v>
      </c>
      <c r="H346" s="16">
        <v>0.45600000000000002</v>
      </c>
      <c r="I346" s="16"/>
      <c r="J346" s="36">
        <f t="shared" si="5"/>
        <v>0.45600000000000002</v>
      </c>
    </row>
    <row r="347" spans="1:10" ht="31.5" x14ac:dyDescent="0.25">
      <c r="A347" s="23">
        <v>337</v>
      </c>
      <c r="B347" s="49" t="s">
        <v>3002</v>
      </c>
      <c r="C347" s="15" t="s">
        <v>1217</v>
      </c>
      <c r="D347" s="9" t="s">
        <v>1277</v>
      </c>
      <c r="E347" s="14" t="s">
        <v>1127</v>
      </c>
      <c r="F347" s="13" t="s">
        <v>1114</v>
      </c>
      <c r="G347" s="16">
        <v>0.434</v>
      </c>
      <c r="H347" s="16">
        <v>0.434</v>
      </c>
      <c r="I347" s="16"/>
      <c r="J347" s="36">
        <f t="shared" si="5"/>
        <v>0.434</v>
      </c>
    </row>
    <row r="348" spans="1:10" ht="31.5" x14ac:dyDescent="0.25">
      <c r="A348" s="23">
        <v>338</v>
      </c>
      <c r="B348" s="49" t="s">
        <v>3003</v>
      </c>
      <c r="C348" s="15" t="s">
        <v>1217</v>
      </c>
      <c r="D348" s="9" t="s">
        <v>1276</v>
      </c>
      <c r="E348" s="14" t="s">
        <v>1127</v>
      </c>
      <c r="F348" s="13" t="s">
        <v>1114</v>
      </c>
      <c r="G348" s="16">
        <v>1.5</v>
      </c>
      <c r="H348" s="16">
        <v>1.5</v>
      </c>
      <c r="I348" s="16"/>
      <c r="J348" s="36">
        <f t="shared" si="5"/>
        <v>1.5</v>
      </c>
    </row>
    <row r="349" spans="1:10" ht="31.5" x14ac:dyDescent="0.25">
      <c r="A349" s="23">
        <v>339</v>
      </c>
      <c r="B349" s="49" t="s">
        <v>3004</v>
      </c>
      <c r="C349" s="15" t="s">
        <v>1217</v>
      </c>
      <c r="D349" s="9" t="s">
        <v>1275</v>
      </c>
      <c r="E349" s="14" t="s">
        <v>1127</v>
      </c>
      <c r="F349" s="13" t="s">
        <v>1114</v>
      </c>
      <c r="G349" s="16">
        <v>1.5</v>
      </c>
      <c r="H349" s="16">
        <v>1.5</v>
      </c>
      <c r="I349" s="16"/>
      <c r="J349" s="36">
        <f t="shared" si="5"/>
        <v>1.5</v>
      </c>
    </row>
    <row r="350" spans="1:10" ht="31.5" x14ac:dyDescent="0.25">
      <c r="A350" s="23">
        <v>340</v>
      </c>
      <c r="B350" s="49" t="s">
        <v>3005</v>
      </c>
      <c r="C350" s="15" t="s">
        <v>1217</v>
      </c>
      <c r="D350" s="9" t="s">
        <v>1274</v>
      </c>
      <c r="E350" s="14" t="s">
        <v>1127</v>
      </c>
      <c r="F350" s="13" t="s">
        <v>1114</v>
      </c>
      <c r="G350" s="16">
        <v>0.15</v>
      </c>
      <c r="H350" s="16">
        <v>0.15</v>
      </c>
      <c r="I350" s="16"/>
      <c r="J350" s="36">
        <f t="shared" si="5"/>
        <v>0.15</v>
      </c>
    </row>
    <row r="351" spans="1:10" ht="31.5" x14ac:dyDescent="0.25">
      <c r="A351" s="23">
        <v>341</v>
      </c>
      <c r="B351" s="49" t="s">
        <v>3006</v>
      </c>
      <c r="C351" s="15" t="s">
        <v>1217</v>
      </c>
      <c r="D351" s="9" t="s">
        <v>1273</v>
      </c>
      <c r="E351" s="14" t="s">
        <v>1127</v>
      </c>
      <c r="F351" s="13" t="s">
        <v>1114</v>
      </c>
      <c r="G351" s="16">
        <v>0.6</v>
      </c>
      <c r="H351" s="16">
        <v>0.6</v>
      </c>
      <c r="I351" s="16"/>
      <c r="J351" s="36">
        <f t="shared" si="5"/>
        <v>0.6</v>
      </c>
    </row>
    <row r="352" spans="1:10" ht="31.5" x14ac:dyDescent="0.25">
      <c r="A352" s="23">
        <v>342</v>
      </c>
      <c r="B352" s="49" t="s">
        <v>3007</v>
      </c>
      <c r="C352" s="15" t="s">
        <v>1217</v>
      </c>
      <c r="D352" s="9" t="s">
        <v>1272</v>
      </c>
      <c r="E352" s="14" t="s">
        <v>1127</v>
      </c>
      <c r="F352" s="13" t="s">
        <v>1114</v>
      </c>
      <c r="G352" s="16">
        <v>0.5</v>
      </c>
      <c r="H352" s="16">
        <v>0.5</v>
      </c>
      <c r="I352" s="16"/>
      <c r="J352" s="36">
        <f t="shared" si="5"/>
        <v>0.5</v>
      </c>
    </row>
    <row r="353" spans="1:10" ht="31.5" x14ac:dyDescent="0.25">
      <c r="A353" s="23">
        <v>343</v>
      </c>
      <c r="B353" s="49" t="s">
        <v>3008</v>
      </c>
      <c r="C353" s="15" t="s">
        <v>38</v>
      </c>
      <c r="D353" s="9" t="s">
        <v>1271</v>
      </c>
      <c r="E353" s="14" t="s">
        <v>1127</v>
      </c>
      <c r="F353" s="13" t="s">
        <v>1114</v>
      </c>
      <c r="G353" s="16">
        <v>0.49</v>
      </c>
      <c r="H353" s="16">
        <v>0.49</v>
      </c>
      <c r="I353" s="16"/>
      <c r="J353" s="36">
        <f t="shared" si="5"/>
        <v>0.49</v>
      </c>
    </row>
    <row r="354" spans="1:10" ht="31.5" x14ac:dyDescent="0.25">
      <c r="A354" s="23">
        <v>344</v>
      </c>
      <c r="B354" s="49" t="s">
        <v>3009</v>
      </c>
      <c r="C354" s="15" t="s">
        <v>1217</v>
      </c>
      <c r="D354" s="9" t="s">
        <v>1270</v>
      </c>
      <c r="E354" s="14" t="s">
        <v>1127</v>
      </c>
      <c r="F354" s="13" t="s">
        <v>1114</v>
      </c>
      <c r="G354" s="16">
        <v>2.2189999999999999</v>
      </c>
      <c r="H354" s="16">
        <v>2.2189999999999999</v>
      </c>
      <c r="I354" s="16"/>
      <c r="J354" s="36">
        <f t="shared" si="5"/>
        <v>2.2189999999999999</v>
      </c>
    </row>
    <row r="355" spans="1:10" ht="47.25" x14ac:dyDescent="0.25">
      <c r="A355" s="23">
        <v>345</v>
      </c>
      <c r="B355" s="49" t="s">
        <v>3010</v>
      </c>
      <c r="C355" s="15" t="s">
        <v>1217</v>
      </c>
      <c r="D355" s="9" t="s">
        <v>1269</v>
      </c>
      <c r="E355" s="14" t="s">
        <v>1127</v>
      </c>
      <c r="F355" s="13" t="s">
        <v>1114</v>
      </c>
      <c r="G355" s="16">
        <v>4.1100000000000003</v>
      </c>
      <c r="H355" s="16">
        <v>4.1100000000000003</v>
      </c>
      <c r="I355" s="16"/>
      <c r="J355" s="36">
        <f t="shared" si="5"/>
        <v>4.1100000000000003</v>
      </c>
    </row>
    <row r="356" spans="1:10" ht="48.75" customHeight="1" x14ac:dyDescent="0.25">
      <c r="A356" s="23">
        <v>346</v>
      </c>
      <c r="B356" s="49" t="s">
        <v>3011</v>
      </c>
      <c r="C356" s="15" t="s">
        <v>1217</v>
      </c>
      <c r="D356" s="9" t="s">
        <v>1268</v>
      </c>
      <c r="E356" s="14" t="s">
        <v>1127</v>
      </c>
      <c r="F356" s="13" t="s">
        <v>1114</v>
      </c>
      <c r="G356" s="16">
        <v>0.82</v>
      </c>
      <c r="H356" s="16">
        <v>0.82</v>
      </c>
      <c r="I356" s="16">
        <v>5.4470000000000001</v>
      </c>
      <c r="J356" s="36">
        <f t="shared" si="5"/>
        <v>6.2670000000000003</v>
      </c>
    </row>
    <row r="357" spans="1:10" ht="31.5" x14ac:dyDescent="0.25">
      <c r="A357" s="23">
        <v>347</v>
      </c>
      <c r="B357" s="49" t="s">
        <v>3012</v>
      </c>
      <c r="C357" s="15" t="s">
        <v>38</v>
      </c>
      <c r="D357" s="9" t="s">
        <v>1267</v>
      </c>
      <c r="E357" s="14" t="s">
        <v>1127</v>
      </c>
      <c r="F357" s="13" t="s">
        <v>1114</v>
      </c>
      <c r="G357" s="16"/>
      <c r="H357" s="16"/>
      <c r="I357" s="16">
        <v>1.131</v>
      </c>
      <c r="J357" s="36">
        <f t="shared" si="5"/>
        <v>1.131</v>
      </c>
    </row>
    <row r="358" spans="1:10" ht="31.5" x14ac:dyDescent="0.25">
      <c r="A358" s="23">
        <v>348</v>
      </c>
      <c r="B358" s="49" t="s">
        <v>3013</v>
      </c>
      <c r="C358" s="15" t="s">
        <v>38</v>
      </c>
      <c r="D358" s="9" t="s">
        <v>1266</v>
      </c>
      <c r="E358" s="14" t="s">
        <v>1127</v>
      </c>
      <c r="F358" s="13" t="s">
        <v>1114</v>
      </c>
      <c r="G358" s="16"/>
      <c r="H358" s="16"/>
      <c r="I358" s="16">
        <v>0.14199999999999999</v>
      </c>
      <c r="J358" s="36">
        <f t="shared" si="5"/>
        <v>0.14199999999999999</v>
      </c>
    </row>
    <row r="359" spans="1:10" ht="31.5" x14ac:dyDescent="0.25">
      <c r="A359" s="23">
        <v>349</v>
      </c>
      <c r="B359" s="49" t="s">
        <v>3014</v>
      </c>
      <c r="C359" s="15" t="s">
        <v>1217</v>
      </c>
      <c r="D359" s="9" t="s">
        <v>1265</v>
      </c>
      <c r="E359" s="14" t="s">
        <v>1127</v>
      </c>
      <c r="F359" s="13" t="s">
        <v>1114</v>
      </c>
      <c r="G359" s="16"/>
      <c r="H359" s="16"/>
      <c r="I359" s="16">
        <v>0.33800000000000002</v>
      </c>
      <c r="J359" s="36">
        <f t="shared" si="5"/>
        <v>0.33800000000000002</v>
      </c>
    </row>
    <row r="360" spans="1:10" ht="31.5" x14ac:dyDescent="0.25">
      <c r="A360" s="23">
        <v>350</v>
      </c>
      <c r="B360" s="49" t="s">
        <v>3015</v>
      </c>
      <c r="C360" s="15" t="s">
        <v>1217</v>
      </c>
      <c r="D360" s="9" t="s">
        <v>1264</v>
      </c>
      <c r="E360" s="14" t="s">
        <v>1127</v>
      </c>
      <c r="F360" s="13" t="s">
        <v>1114</v>
      </c>
      <c r="G360" s="16"/>
      <c r="H360" s="16"/>
      <c r="I360" s="16">
        <v>0.755</v>
      </c>
      <c r="J360" s="36">
        <f t="shared" si="5"/>
        <v>0.755</v>
      </c>
    </row>
    <row r="361" spans="1:10" ht="47.25" x14ac:dyDescent="0.25">
      <c r="A361" s="23">
        <v>351</v>
      </c>
      <c r="B361" s="49" t="s">
        <v>3016</v>
      </c>
      <c r="C361" s="15" t="s">
        <v>38</v>
      </c>
      <c r="D361" s="9" t="s">
        <v>1263</v>
      </c>
      <c r="E361" s="14" t="s">
        <v>1127</v>
      </c>
      <c r="F361" s="13" t="s">
        <v>1114</v>
      </c>
      <c r="G361" s="16"/>
      <c r="H361" s="16"/>
      <c r="I361" s="16">
        <v>0.376</v>
      </c>
      <c r="J361" s="36">
        <f t="shared" si="5"/>
        <v>0.376</v>
      </c>
    </row>
    <row r="362" spans="1:10" ht="31.5" x14ac:dyDescent="0.25">
      <c r="A362" s="23">
        <v>352</v>
      </c>
      <c r="B362" s="49" t="s">
        <v>3017</v>
      </c>
      <c r="C362" s="15" t="s">
        <v>38</v>
      </c>
      <c r="D362" s="9" t="s">
        <v>1262</v>
      </c>
      <c r="E362" s="14" t="s">
        <v>1127</v>
      </c>
      <c r="F362" s="13" t="s">
        <v>1114</v>
      </c>
      <c r="G362" s="16"/>
      <c r="H362" s="16"/>
      <c r="I362" s="16">
        <v>0.39900000000000002</v>
      </c>
      <c r="J362" s="36">
        <f t="shared" si="5"/>
        <v>0.39900000000000002</v>
      </c>
    </row>
    <row r="363" spans="1:10" ht="31.5" x14ac:dyDescent="0.25">
      <c r="A363" s="23">
        <v>353</v>
      </c>
      <c r="B363" s="49" t="s">
        <v>3018</v>
      </c>
      <c r="C363" s="15" t="s">
        <v>38</v>
      </c>
      <c r="D363" s="9" t="s">
        <v>1261</v>
      </c>
      <c r="E363" s="14" t="s">
        <v>1127</v>
      </c>
      <c r="F363" s="13" t="s">
        <v>1114</v>
      </c>
      <c r="G363" s="16"/>
      <c r="H363" s="16"/>
      <c r="I363" s="16">
        <v>0.63800000000000001</v>
      </c>
      <c r="J363" s="36">
        <f t="shared" si="5"/>
        <v>0.63800000000000001</v>
      </c>
    </row>
    <row r="364" spans="1:10" ht="31.5" x14ac:dyDescent="0.25">
      <c r="A364" s="23">
        <v>354</v>
      </c>
      <c r="B364" s="49" t="s">
        <v>3019</v>
      </c>
      <c r="C364" s="15" t="s">
        <v>38</v>
      </c>
      <c r="D364" s="9" t="s">
        <v>1260</v>
      </c>
      <c r="E364" s="14" t="s">
        <v>1127</v>
      </c>
      <c r="F364" s="13" t="s">
        <v>1114</v>
      </c>
      <c r="G364" s="16"/>
      <c r="H364" s="16"/>
      <c r="I364" s="16">
        <v>0.16900000000000001</v>
      </c>
      <c r="J364" s="36">
        <f t="shared" si="5"/>
        <v>0.16900000000000001</v>
      </c>
    </row>
    <row r="365" spans="1:10" ht="31.5" x14ac:dyDescent="0.25">
      <c r="A365" s="23">
        <v>355</v>
      </c>
      <c r="B365" s="49" t="s">
        <v>3020</v>
      </c>
      <c r="C365" s="15" t="s">
        <v>1217</v>
      </c>
      <c r="D365" s="9" t="s">
        <v>1259</v>
      </c>
      <c r="E365" s="14" t="s">
        <v>1127</v>
      </c>
      <c r="F365" s="13" t="s">
        <v>1114</v>
      </c>
      <c r="G365" s="16"/>
      <c r="H365" s="16"/>
      <c r="I365" s="16">
        <v>0.3</v>
      </c>
      <c r="J365" s="36">
        <f t="shared" si="5"/>
        <v>0.3</v>
      </c>
    </row>
    <row r="366" spans="1:10" ht="31.5" x14ac:dyDescent="0.25">
      <c r="A366" s="23">
        <v>356</v>
      </c>
      <c r="B366" s="49" t="s">
        <v>3021</v>
      </c>
      <c r="C366" s="15" t="s">
        <v>1217</v>
      </c>
      <c r="D366" s="9" t="s">
        <v>1258</v>
      </c>
      <c r="E366" s="14" t="s">
        <v>1127</v>
      </c>
      <c r="F366" s="13" t="s">
        <v>1114</v>
      </c>
      <c r="G366" s="16"/>
      <c r="H366" s="16"/>
      <c r="I366" s="16">
        <v>0.77800000000000002</v>
      </c>
      <c r="J366" s="36">
        <f t="shared" si="5"/>
        <v>0.77800000000000002</v>
      </c>
    </row>
    <row r="367" spans="1:10" ht="47.25" x14ac:dyDescent="0.25">
      <c r="A367" s="23">
        <v>357</v>
      </c>
      <c r="B367" s="49" t="s">
        <v>3022</v>
      </c>
      <c r="C367" s="15" t="s">
        <v>1217</v>
      </c>
      <c r="D367" s="9" t="s">
        <v>1257</v>
      </c>
      <c r="E367" s="14" t="s">
        <v>1127</v>
      </c>
      <c r="F367" s="13" t="s">
        <v>1114</v>
      </c>
      <c r="G367" s="16"/>
      <c r="H367" s="16"/>
      <c r="I367" s="16">
        <v>1.653</v>
      </c>
      <c r="J367" s="36">
        <f t="shared" si="5"/>
        <v>1.653</v>
      </c>
    </row>
    <row r="368" spans="1:10" ht="31.5" x14ac:dyDescent="0.25">
      <c r="A368" s="23">
        <v>358</v>
      </c>
      <c r="B368" s="49" t="s">
        <v>3023</v>
      </c>
      <c r="C368" s="15" t="s">
        <v>38</v>
      </c>
      <c r="D368" s="9" t="s">
        <v>1256</v>
      </c>
      <c r="E368" s="14" t="s">
        <v>1127</v>
      </c>
      <c r="F368" s="13" t="s">
        <v>1114</v>
      </c>
      <c r="G368" s="16"/>
      <c r="H368" s="16"/>
      <c r="I368" s="16">
        <v>0.20799999999999999</v>
      </c>
      <c r="J368" s="36">
        <f t="shared" si="5"/>
        <v>0.20799999999999999</v>
      </c>
    </row>
    <row r="369" spans="1:10" ht="31.5" x14ac:dyDescent="0.25">
      <c r="A369" s="23">
        <v>359</v>
      </c>
      <c r="B369" s="49" t="s">
        <v>3024</v>
      </c>
      <c r="C369" s="15" t="s">
        <v>1217</v>
      </c>
      <c r="D369" s="9" t="s">
        <v>1255</v>
      </c>
      <c r="E369" s="14" t="s">
        <v>1127</v>
      </c>
      <c r="F369" s="13" t="s">
        <v>1114</v>
      </c>
      <c r="G369" s="16"/>
      <c r="H369" s="16"/>
      <c r="I369" s="16">
        <v>1.6839999999999999</v>
      </c>
      <c r="J369" s="36">
        <f t="shared" si="5"/>
        <v>1.6839999999999999</v>
      </c>
    </row>
    <row r="370" spans="1:10" ht="31.5" x14ac:dyDescent="0.25">
      <c r="A370" s="23">
        <v>360</v>
      </c>
      <c r="B370" s="49" t="s">
        <v>3025</v>
      </c>
      <c r="C370" s="15" t="s">
        <v>38</v>
      </c>
      <c r="D370" s="9" t="s">
        <v>1254</v>
      </c>
      <c r="E370" s="14" t="s">
        <v>1127</v>
      </c>
      <c r="F370" s="13" t="s">
        <v>1114</v>
      </c>
      <c r="G370" s="16"/>
      <c r="H370" s="16"/>
      <c r="I370" s="16">
        <v>0.25700000000000001</v>
      </c>
      <c r="J370" s="36">
        <f t="shared" si="5"/>
        <v>0.25700000000000001</v>
      </c>
    </row>
    <row r="371" spans="1:10" ht="31.5" x14ac:dyDescent="0.25">
      <c r="A371" s="23">
        <v>361</v>
      </c>
      <c r="B371" s="49" t="s">
        <v>3026</v>
      </c>
      <c r="C371" s="15" t="s">
        <v>38</v>
      </c>
      <c r="D371" s="9" t="s">
        <v>1253</v>
      </c>
      <c r="E371" s="14" t="s">
        <v>1127</v>
      </c>
      <c r="F371" s="13" t="s">
        <v>1114</v>
      </c>
      <c r="G371" s="16"/>
      <c r="H371" s="16"/>
      <c r="I371" s="16">
        <v>0.128</v>
      </c>
      <c r="J371" s="36">
        <f t="shared" si="5"/>
        <v>0.128</v>
      </c>
    </row>
    <row r="372" spans="1:10" ht="31.5" x14ac:dyDescent="0.25">
      <c r="A372" s="23">
        <v>362</v>
      </c>
      <c r="B372" s="49" t="s">
        <v>3027</v>
      </c>
      <c r="C372" s="15" t="s">
        <v>38</v>
      </c>
      <c r="D372" s="9" t="s">
        <v>1252</v>
      </c>
      <c r="E372" s="14" t="s">
        <v>1127</v>
      </c>
      <c r="F372" s="13" t="s">
        <v>1114</v>
      </c>
      <c r="G372" s="16"/>
      <c r="H372" s="16"/>
      <c r="I372" s="16">
        <v>0.34499999999999997</v>
      </c>
      <c r="J372" s="36">
        <f t="shared" si="5"/>
        <v>0.34499999999999997</v>
      </c>
    </row>
    <row r="373" spans="1:10" ht="31.5" x14ac:dyDescent="0.25">
      <c r="A373" s="23">
        <v>363</v>
      </c>
      <c r="B373" s="49" t="s">
        <v>3028</v>
      </c>
      <c r="C373" s="15" t="s">
        <v>1217</v>
      </c>
      <c r="D373" s="9" t="s">
        <v>1251</v>
      </c>
      <c r="E373" s="14" t="s">
        <v>1127</v>
      </c>
      <c r="F373" s="13" t="s">
        <v>1114</v>
      </c>
      <c r="G373" s="16"/>
      <c r="H373" s="16"/>
      <c r="I373" s="16">
        <v>0.15</v>
      </c>
      <c r="J373" s="36">
        <f t="shared" si="5"/>
        <v>0.15</v>
      </c>
    </row>
    <row r="374" spans="1:10" ht="31.5" x14ac:dyDescent="0.25">
      <c r="A374" s="23">
        <v>364</v>
      </c>
      <c r="B374" s="49" t="s">
        <v>3029</v>
      </c>
      <c r="C374" s="15" t="s">
        <v>1217</v>
      </c>
      <c r="D374" s="9" t="s">
        <v>1250</v>
      </c>
      <c r="E374" s="14" t="s">
        <v>1127</v>
      </c>
      <c r="F374" s="13" t="s">
        <v>1114</v>
      </c>
      <c r="G374" s="16"/>
      <c r="H374" s="16"/>
      <c r="I374" s="16">
        <v>0.77</v>
      </c>
      <c r="J374" s="36">
        <f t="shared" si="5"/>
        <v>0.77</v>
      </c>
    </row>
    <row r="375" spans="1:10" ht="31.5" x14ac:dyDescent="0.25">
      <c r="A375" s="23">
        <v>365</v>
      </c>
      <c r="B375" s="49" t="s">
        <v>3030</v>
      </c>
      <c r="C375" s="15" t="s">
        <v>1217</v>
      </c>
      <c r="D375" s="9" t="s">
        <v>1249</v>
      </c>
      <c r="E375" s="14" t="s">
        <v>1127</v>
      </c>
      <c r="F375" s="13" t="s">
        <v>1114</v>
      </c>
      <c r="G375" s="16"/>
      <c r="H375" s="16"/>
      <c r="I375" s="16">
        <v>0.45</v>
      </c>
      <c r="J375" s="36">
        <f t="shared" si="5"/>
        <v>0.45</v>
      </c>
    </row>
    <row r="376" spans="1:10" ht="31.5" x14ac:dyDescent="0.25">
      <c r="A376" s="23">
        <v>366</v>
      </c>
      <c r="B376" s="49" t="s">
        <v>3031</v>
      </c>
      <c r="C376" s="15" t="s">
        <v>38</v>
      </c>
      <c r="D376" s="9" t="s">
        <v>1248</v>
      </c>
      <c r="E376" s="14" t="s">
        <v>1127</v>
      </c>
      <c r="F376" s="13" t="s">
        <v>1114</v>
      </c>
      <c r="G376" s="16"/>
      <c r="H376" s="16"/>
      <c r="I376" s="16">
        <v>2.3769999999999998</v>
      </c>
      <c r="J376" s="36">
        <f t="shared" si="5"/>
        <v>2.3769999999999998</v>
      </c>
    </row>
    <row r="377" spans="1:10" ht="31.5" x14ac:dyDescent="0.25">
      <c r="A377" s="23">
        <v>367</v>
      </c>
      <c r="B377" s="49" t="s">
        <v>3032</v>
      </c>
      <c r="C377" s="15" t="s">
        <v>38</v>
      </c>
      <c r="D377" s="9" t="s">
        <v>1247</v>
      </c>
      <c r="E377" s="14" t="s">
        <v>1127</v>
      </c>
      <c r="F377" s="13" t="s">
        <v>1114</v>
      </c>
      <c r="G377" s="16"/>
      <c r="H377" s="16"/>
      <c r="I377" s="16">
        <v>5.8140000000000001</v>
      </c>
      <c r="J377" s="36">
        <f t="shared" si="5"/>
        <v>5.8140000000000001</v>
      </c>
    </row>
    <row r="378" spans="1:10" ht="31.5" x14ac:dyDescent="0.25">
      <c r="A378" s="23">
        <v>368</v>
      </c>
      <c r="B378" s="49" t="s">
        <v>3033</v>
      </c>
      <c r="C378" s="15" t="s">
        <v>38</v>
      </c>
      <c r="D378" s="9" t="s">
        <v>1246</v>
      </c>
      <c r="E378" s="14" t="s">
        <v>1127</v>
      </c>
      <c r="F378" s="13" t="s">
        <v>1114</v>
      </c>
      <c r="G378" s="16">
        <v>0.35499999999999998</v>
      </c>
      <c r="H378" s="16"/>
      <c r="I378" s="16">
        <v>1.452</v>
      </c>
      <c r="J378" s="36">
        <f t="shared" si="5"/>
        <v>1.8069999999999999</v>
      </c>
    </row>
    <row r="379" spans="1:10" ht="31.5" x14ac:dyDescent="0.25">
      <c r="A379" s="23">
        <v>369</v>
      </c>
      <c r="B379" s="49" t="s">
        <v>3034</v>
      </c>
      <c r="C379" s="15" t="s">
        <v>38</v>
      </c>
      <c r="D379" s="9" t="s">
        <v>1245</v>
      </c>
      <c r="E379" s="14" t="s">
        <v>1127</v>
      </c>
      <c r="F379" s="13" t="s">
        <v>1114</v>
      </c>
      <c r="G379" s="16">
        <v>0.89200000000000002</v>
      </c>
      <c r="H379" s="16"/>
      <c r="I379" s="16">
        <v>2.1970000000000001</v>
      </c>
      <c r="J379" s="36">
        <f t="shared" si="5"/>
        <v>3.089</v>
      </c>
    </row>
    <row r="380" spans="1:10" ht="31.5" x14ac:dyDescent="0.25">
      <c r="A380" s="23">
        <v>370</v>
      </c>
      <c r="B380" s="49" t="s">
        <v>3035</v>
      </c>
      <c r="C380" s="15" t="s">
        <v>38</v>
      </c>
      <c r="D380" s="9" t="s">
        <v>1244</v>
      </c>
      <c r="E380" s="14" t="s">
        <v>1127</v>
      </c>
      <c r="F380" s="13" t="s">
        <v>1114</v>
      </c>
      <c r="G380" s="16"/>
      <c r="H380" s="16"/>
      <c r="I380" s="16">
        <v>0.83199999999999996</v>
      </c>
      <c r="J380" s="36">
        <f t="shared" si="5"/>
        <v>0.83199999999999996</v>
      </c>
    </row>
    <row r="381" spans="1:10" ht="31.5" x14ac:dyDescent="0.25">
      <c r="A381" s="23">
        <v>371</v>
      </c>
      <c r="B381" s="49" t="s">
        <v>3036</v>
      </c>
      <c r="C381" s="15" t="s">
        <v>1217</v>
      </c>
      <c r="D381" s="9" t="s">
        <v>1243</v>
      </c>
      <c r="E381" s="14" t="s">
        <v>1127</v>
      </c>
      <c r="F381" s="13" t="s">
        <v>1114</v>
      </c>
      <c r="G381" s="16"/>
      <c r="H381" s="16"/>
      <c r="I381" s="16">
        <v>0.2</v>
      </c>
      <c r="J381" s="36">
        <f t="shared" si="5"/>
        <v>0.2</v>
      </c>
    </row>
    <row r="382" spans="1:10" ht="31.5" x14ac:dyDescent="0.25">
      <c r="A382" s="23">
        <v>372</v>
      </c>
      <c r="B382" s="49" t="s">
        <v>3037</v>
      </c>
      <c r="C382" s="15" t="s">
        <v>1217</v>
      </c>
      <c r="D382" s="9" t="s">
        <v>1242</v>
      </c>
      <c r="E382" s="14" t="s">
        <v>1127</v>
      </c>
      <c r="F382" s="13" t="s">
        <v>1114</v>
      </c>
      <c r="G382" s="16"/>
      <c r="H382" s="16"/>
      <c r="I382" s="16">
        <v>0.61</v>
      </c>
      <c r="J382" s="36">
        <f t="shared" si="5"/>
        <v>0.61</v>
      </c>
    </row>
    <row r="383" spans="1:10" ht="31.5" x14ac:dyDescent="0.25">
      <c r="A383" s="23">
        <v>373</v>
      </c>
      <c r="B383" s="49" t="s">
        <v>3038</v>
      </c>
      <c r="C383" s="15" t="s">
        <v>1217</v>
      </c>
      <c r="D383" s="9" t="s">
        <v>1241</v>
      </c>
      <c r="E383" s="14" t="s">
        <v>1127</v>
      </c>
      <c r="F383" s="13" t="s">
        <v>1114</v>
      </c>
      <c r="G383" s="16"/>
      <c r="H383" s="16"/>
      <c r="I383" s="16">
        <v>0.438</v>
      </c>
      <c r="J383" s="36">
        <f t="shared" si="5"/>
        <v>0.438</v>
      </c>
    </row>
    <row r="384" spans="1:10" ht="31.5" x14ac:dyDescent="0.25">
      <c r="A384" s="23">
        <v>374</v>
      </c>
      <c r="B384" s="49" t="s">
        <v>3039</v>
      </c>
      <c r="C384" s="15" t="s">
        <v>38</v>
      </c>
      <c r="D384" s="9" t="s">
        <v>1240</v>
      </c>
      <c r="E384" s="14" t="s">
        <v>1127</v>
      </c>
      <c r="F384" s="13" t="s">
        <v>1114</v>
      </c>
      <c r="G384" s="16"/>
      <c r="H384" s="16"/>
      <c r="I384" s="16">
        <v>0.158</v>
      </c>
      <c r="J384" s="36">
        <f t="shared" si="5"/>
        <v>0.158</v>
      </c>
    </row>
    <row r="385" spans="1:10" ht="31.5" x14ac:dyDescent="0.25">
      <c r="A385" s="23">
        <v>375</v>
      </c>
      <c r="B385" s="49" t="s">
        <v>3040</v>
      </c>
      <c r="C385" s="15" t="s">
        <v>38</v>
      </c>
      <c r="D385" s="9" t="s">
        <v>1239</v>
      </c>
      <c r="E385" s="14" t="s">
        <v>1127</v>
      </c>
      <c r="F385" s="13" t="s">
        <v>1114</v>
      </c>
      <c r="G385" s="16">
        <v>0.24</v>
      </c>
      <c r="H385" s="16"/>
      <c r="I385" s="16">
        <v>8.6999999999999994E-2</v>
      </c>
      <c r="J385" s="36">
        <f t="shared" si="5"/>
        <v>0.32699999999999996</v>
      </c>
    </row>
    <row r="386" spans="1:10" ht="31.5" x14ac:dyDescent="0.25">
      <c r="A386" s="23">
        <v>376</v>
      </c>
      <c r="B386" s="49" t="s">
        <v>3041</v>
      </c>
      <c r="C386" s="15" t="s">
        <v>38</v>
      </c>
      <c r="D386" s="9" t="s">
        <v>1238</v>
      </c>
      <c r="E386" s="14" t="s">
        <v>1127</v>
      </c>
      <c r="F386" s="13" t="s">
        <v>1114</v>
      </c>
      <c r="G386" s="16"/>
      <c r="H386" s="16"/>
      <c r="I386" s="16">
        <v>0.438</v>
      </c>
      <c r="J386" s="36">
        <f t="shared" si="5"/>
        <v>0.438</v>
      </c>
    </row>
    <row r="387" spans="1:10" ht="31.5" x14ac:dyDescent="0.25">
      <c r="A387" s="23">
        <v>377</v>
      </c>
      <c r="B387" s="49" t="s">
        <v>3042</v>
      </c>
      <c r="C387" s="15" t="s">
        <v>38</v>
      </c>
      <c r="D387" s="9" t="s">
        <v>1237</v>
      </c>
      <c r="E387" s="14" t="s">
        <v>1127</v>
      </c>
      <c r="F387" s="13" t="s">
        <v>1114</v>
      </c>
      <c r="G387" s="16"/>
      <c r="H387" s="16"/>
      <c r="I387" s="16">
        <v>0.78600000000000003</v>
      </c>
      <c r="J387" s="36">
        <f t="shared" si="5"/>
        <v>0.78600000000000003</v>
      </c>
    </row>
    <row r="388" spans="1:10" ht="31.5" x14ac:dyDescent="0.25">
      <c r="A388" s="23">
        <v>378</v>
      </c>
      <c r="B388" s="49" t="s">
        <v>3043</v>
      </c>
      <c r="C388" s="15" t="s">
        <v>38</v>
      </c>
      <c r="D388" s="9" t="s">
        <v>1236</v>
      </c>
      <c r="E388" s="14" t="s">
        <v>1127</v>
      </c>
      <c r="F388" s="13" t="s">
        <v>1114</v>
      </c>
      <c r="G388" s="16">
        <v>0.308</v>
      </c>
      <c r="H388" s="16"/>
      <c r="I388" s="16"/>
      <c r="J388" s="36">
        <f t="shared" si="5"/>
        <v>0.308</v>
      </c>
    </row>
    <row r="389" spans="1:10" ht="31.5" x14ac:dyDescent="0.25">
      <c r="A389" s="23">
        <v>379</v>
      </c>
      <c r="B389" s="49" t="s">
        <v>3044</v>
      </c>
      <c r="C389" s="15" t="s">
        <v>38</v>
      </c>
      <c r="D389" s="9" t="s">
        <v>1235</v>
      </c>
      <c r="E389" s="14" t="s">
        <v>1127</v>
      </c>
      <c r="F389" s="13" t="s">
        <v>1114</v>
      </c>
      <c r="G389" s="16"/>
      <c r="H389" s="16"/>
      <c r="I389" s="16">
        <v>0.40799999999999997</v>
      </c>
      <c r="J389" s="36">
        <f t="shared" si="5"/>
        <v>0.40799999999999997</v>
      </c>
    </row>
    <row r="390" spans="1:10" ht="31.5" x14ac:dyDescent="0.25">
      <c r="A390" s="23">
        <v>380</v>
      </c>
      <c r="B390" s="49" t="s">
        <v>3045</v>
      </c>
      <c r="C390" s="15" t="s">
        <v>1217</v>
      </c>
      <c r="D390" s="9" t="s">
        <v>1234</v>
      </c>
      <c r="E390" s="14" t="s">
        <v>1127</v>
      </c>
      <c r="F390" s="13" t="s">
        <v>1114</v>
      </c>
      <c r="G390" s="16"/>
      <c r="H390" s="16"/>
      <c r="I390" s="16">
        <v>0.7</v>
      </c>
      <c r="J390" s="36">
        <f t="shared" si="5"/>
        <v>0.7</v>
      </c>
    </row>
    <row r="391" spans="1:10" ht="31.5" x14ac:dyDescent="0.25">
      <c r="A391" s="23">
        <v>381</v>
      </c>
      <c r="B391" s="49" t="s">
        <v>3046</v>
      </c>
      <c r="C391" s="15" t="s">
        <v>38</v>
      </c>
      <c r="D391" s="9" t="s">
        <v>1233</v>
      </c>
      <c r="E391" s="14" t="s">
        <v>1127</v>
      </c>
      <c r="F391" s="13" t="s">
        <v>1114</v>
      </c>
      <c r="G391" s="16"/>
      <c r="H391" s="16"/>
      <c r="I391" s="16">
        <v>0.60499999999999998</v>
      </c>
      <c r="J391" s="36">
        <f t="shared" si="5"/>
        <v>0.60499999999999998</v>
      </c>
    </row>
    <row r="392" spans="1:10" ht="31.5" x14ac:dyDescent="0.25">
      <c r="A392" s="23">
        <v>382</v>
      </c>
      <c r="B392" s="49" t="s">
        <v>3047</v>
      </c>
      <c r="C392" s="15" t="s">
        <v>38</v>
      </c>
      <c r="D392" s="9" t="s">
        <v>1232</v>
      </c>
      <c r="E392" s="14" t="s">
        <v>1127</v>
      </c>
      <c r="F392" s="13" t="s">
        <v>1114</v>
      </c>
      <c r="G392" s="16"/>
      <c r="H392" s="16"/>
      <c r="I392" s="16">
        <v>1.3839999999999999</v>
      </c>
      <c r="J392" s="36">
        <f t="shared" si="5"/>
        <v>1.3839999999999999</v>
      </c>
    </row>
    <row r="393" spans="1:10" ht="31.5" x14ac:dyDescent="0.25">
      <c r="A393" s="23">
        <v>383</v>
      </c>
      <c r="B393" s="49" t="s">
        <v>3048</v>
      </c>
      <c r="C393" s="15" t="s">
        <v>38</v>
      </c>
      <c r="D393" s="9" t="s">
        <v>1231</v>
      </c>
      <c r="E393" s="14" t="s">
        <v>1127</v>
      </c>
      <c r="F393" s="13" t="s">
        <v>1114</v>
      </c>
      <c r="G393" s="16"/>
      <c r="H393" s="16"/>
      <c r="I393" s="16">
        <v>0.23899999999999999</v>
      </c>
      <c r="J393" s="36">
        <f t="shared" si="5"/>
        <v>0.23899999999999999</v>
      </c>
    </row>
    <row r="394" spans="1:10" ht="31.5" x14ac:dyDescent="0.25">
      <c r="A394" s="23">
        <v>384</v>
      </c>
      <c r="B394" s="49" t="s">
        <v>3049</v>
      </c>
      <c r="C394" s="15" t="s">
        <v>38</v>
      </c>
      <c r="D394" s="9" t="s">
        <v>1230</v>
      </c>
      <c r="E394" s="14" t="s">
        <v>1127</v>
      </c>
      <c r="F394" s="13" t="s">
        <v>1114</v>
      </c>
      <c r="G394" s="16"/>
      <c r="H394" s="16"/>
      <c r="I394" s="16">
        <v>0.97599999999999998</v>
      </c>
      <c r="J394" s="36">
        <f t="shared" si="5"/>
        <v>0.97599999999999998</v>
      </c>
    </row>
    <row r="395" spans="1:10" ht="31.5" x14ac:dyDescent="0.25">
      <c r="A395" s="23">
        <v>385</v>
      </c>
      <c r="B395" s="49" t="s">
        <v>3050</v>
      </c>
      <c r="C395" s="15" t="s">
        <v>38</v>
      </c>
      <c r="D395" s="9" t="s">
        <v>1229</v>
      </c>
      <c r="E395" s="14" t="s">
        <v>1127</v>
      </c>
      <c r="F395" s="13" t="s">
        <v>1114</v>
      </c>
      <c r="G395" s="16"/>
      <c r="H395" s="16"/>
      <c r="I395" s="16">
        <v>0.35499999999999998</v>
      </c>
      <c r="J395" s="36">
        <f t="shared" ref="J395:J458" si="6">G395+I395</f>
        <v>0.35499999999999998</v>
      </c>
    </row>
    <row r="396" spans="1:10" ht="31.5" x14ac:dyDescent="0.25">
      <c r="A396" s="23">
        <v>386</v>
      </c>
      <c r="B396" s="49" t="s">
        <v>3051</v>
      </c>
      <c r="C396" s="15" t="s">
        <v>38</v>
      </c>
      <c r="D396" s="9" t="s">
        <v>1228</v>
      </c>
      <c r="E396" s="14" t="s">
        <v>1127</v>
      </c>
      <c r="F396" s="13" t="s">
        <v>1114</v>
      </c>
      <c r="G396" s="16"/>
      <c r="H396" s="16"/>
      <c r="I396" s="16">
        <v>0.61699999999999999</v>
      </c>
      <c r="J396" s="36">
        <f t="shared" si="6"/>
        <v>0.61699999999999999</v>
      </c>
    </row>
    <row r="397" spans="1:10" ht="31.5" x14ac:dyDescent="0.25">
      <c r="A397" s="23">
        <v>387</v>
      </c>
      <c r="B397" s="49" t="s">
        <v>3052</v>
      </c>
      <c r="C397" s="15" t="s">
        <v>1217</v>
      </c>
      <c r="D397" s="9" t="s">
        <v>1227</v>
      </c>
      <c r="E397" s="14" t="s">
        <v>1127</v>
      </c>
      <c r="F397" s="13" t="s">
        <v>1114</v>
      </c>
      <c r="G397" s="16"/>
      <c r="H397" s="16"/>
      <c r="I397" s="16">
        <v>2.59</v>
      </c>
      <c r="J397" s="36">
        <f t="shared" si="6"/>
        <v>2.59</v>
      </c>
    </row>
    <row r="398" spans="1:10" ht="33.75" customHeight="1" x14ac:dyDescent="0.25">
      <c r="A398" s="23">
        <v>388</v>
      </c>
      <c r="B398" s="49" t="s">
        <v>3053</v>
      </c>
      <c r="C398" s="15" t="s">
        <v>1217</v>
      </c>
      <c r="D398" s="9" t="s">
        <v>1226</v>
      </c>
      <c r="E398" s="14" t="s">
        <v>1127</v>
      </c>
      <c r="F398" s="13" t="s">
        <v>1114</v>
      </c>
      <c r="G398" s="16"/>
      <c r="H398" s="16"/>
      <c r="I398" s="16">
        <v>1.155</v>
      </c>
      <c r="J398" s="36">
        <f t="shared" si="6"/>
        <v>1.155</v>
      </c>
    </row>
    <row r="399" spans="1:10" ht="31.5" x14ac:dyDescent="0.25">
      <c r="A399" s="23">
        <v>389</v>
      </c>
      <c r="B399" s="49" t="s">
        <v>3054</v>
      </c>
      <c r="C399" s="15" t="s">
        <v>1217</v>
      </c>
      <c r="D399" s="9" t="s">
        <v>1225</v>
      </c>
      <c r="E399" s="14" t="s">
        <v>1127</v>
      </c>
      <c r="F399" s="13" t="s">
        <v>1114</v>
      </c>
      <c r="G399" s="16"/>
      <c r="H399" s="16"/>
      <c r="I399" s="16">
        <v>4.8680000000000003</v>
      </c>
      <c r="J399" s="36">
        <f t="shared" si="6"/>
        <v>4.8680000000000003</v>
      </c>
    </row>
    <row r="400" spans="1:10" ht="31.5" x14ac:dyDescent="0.25">
      <c r="A400" s="23">
        <v>390</v>
      </c>
      <c r="B400" s="49" t="s">
        <v>3055</v>
      </c>
      <c r="C400" s="15" t="s">
        <v>1217</v>
      </c>
      <c r="D400" s="9" t="s">
        <v>1224</v>
      </c>
      <c r="E400" s="14" t="s">
        <v>1127</v>
      </c>
      <c r="F400" s="13" t="s">
        <v>1114</v>
      </c>
      <c r="G400" s="16"/>
      <c r="H400" s="16"/>
      <c r="I400" s="16">
        <v>3.6629999999999998</v>
      </c>
      <c r="J400" s="36">
        <f t="shared" si="6"/>
        <v>3.6629999999999998</v>
      </c>
    </row>
    <row r="401" spans="1:10" ht="31.5" x14ac:dyDescent="0.25">
      <c r="A401" s="23">
        <v>391</v>
      </c>
      <c r="B401" s="49" t="s">
        <v>3056</v>
      </c>
      <c r="C401" s="15" t="s">
        <v>1217</v>
      </c>
      <c r="D401" s="9" t="s">
        <v>1223</v>
      </c>
      <c r="E401" s="14" t="s">
        <v>1127</v>
      </c>
      <c r="F401" s="13" t="s">
        <v>1114</v>
      </c>
      <c r="G401" s="16"/>
      <c r="H401" s="16"/>
      <c r="I401" s="16">
        <v>3.0139999999999998</v>
      </c>
      <c r="J401" s="36">
        <f t="shared" si="6"/>
        <v>3.0139999999999998</v>
      </c>
    </row>
    <row r="402" spans="1:10" ht="31.5" x14ac:dyDescent="0.25">
      <c r="A402" s="23">
        <v>392</v>
      </c>
      <c r="B402" s="49" t="s">
        <v>3057</v>
      </c>
      <c r="C402" s="15" t="s">
        <v>1217</v>
      </c>
      <c r="D402" s="9" t="s">
        <v>1222</v>
      </c>
      <c r="E402" s="14" t="s">
        <v>1127</v>
      </c>
      <c r="F402" s="13" t="s">
        <v>1114</v>
      </c>
      <c r="G402" s="16"/>
      <c r="H402" s="16"/>
      <c r="I402" s="16">
        <v>1.911</v>
      </c>
      <c r="J402" s="36">
        <f t="shared" si="6"/>
        <v>1.911</v>
      </c>
    </row>
    <row r="403" spans="1:10" ht="31.5" x14ac:dyDescent="0.25">
      <c r="A403" s="23">
        <v>393</v>
      </c>
      <c r="B403" s="49" t="s">
        <v>3058</v>
      </c>
      <c r="C403" s="15" t="s">
        <v>1217</v>
      </c>
      <c r="D403" s="9" t="s">
        <v>1221</v>
      </c>
      <c r="E403" s="14" t="s">
        <v>1127</v>
      </c>
      <c r="F403" s="13" t="s">
        <v>1114</v>
      </c>
      <c r="G403" s="16"/>
      <c r="H403" s="16"/>
      <c r="I403" s="16">
        <v>4.2080000000000002</v>
      </c>
      <c r="J403" s="36">
        <f t="shared" si="6"/>
        <v>4.2080000000000002</v>
      </c>
    </row>
    <row r="404" spans="1:10" ht="31.5" x14ac:dyDescent="0.25">
      <c r="A404" s="23">
        <v>394</v>
      </c>
      <c r="B404" s="49" t="s">
        <v>3059</v>
      </c>
      <c r="C404" s="15" t="s">
        <v>1217</v>
      </c>
      <c r="D404" s="9" t="s">
        <v>1220</v>
      </c>
      <c r="E404" s="14" t="s">
        <v>1127</v>
      </c>
      <c r="F404" s="13" t="s">
        <v>1114</v>
      </c>
      <c r="G404" s="16"/>
      <c r="H404" s="16"/>
      <c r="I404" s="16">
        <v>5.6150000000000002</v>
      </c>
      <c r="J404" s="36">
        <f t="shared" si="6"/>
        <v>5.6150000000000002</v>
      </c>
    </row>
    <row r="405" spans="1:10" ht="31.5" x14ac:dyDescent="0.25">
      <c r="A405" s="23">
        <v>395</v>
      </c>
      <c r="B405" s="49" t="s">
        <v>3060</v>
      </c>
      <c r="C405" s="15" t="s">
        <v>1217</v>
      </c>
      <c r="D405" s="9" t="s">
        <v>1219</v>
      </c>
      <c r="E405" s="14" t="s">
        <v>1127</v>
      </c>
      <c r="F405" s="13" t="s">
        <v>1114</v>
      </c>
      <c r="G405" s="16"/>
      <c r="H405" s="16"/>
      <c r="I405" s="16">
        <v>0.44400000000000001</v>
      </c>
      <c r="J405" s="36">
        <f t="shared" si="6"/>
        <v>0.44400000000000001</v>
      </c>
    </row>
    <row r="406" spans="1:10" ht="31.5" x14ac:dyDescent="0.25">
      <c r="A406" s="23">
        <v>396</v>
      </c>
      <c r="B406" s="49" t="s">
        <v>3061</v>
      </c>
      <c r="C406" s="15" t="s">
        <v>1217</v>
      </c>
      <c r="D406" s="9" t="s">
        <v>1218</v>
      </c>
      <c r="E406" s="14" t="s">
        <v>1127</v>
      </c>
      <c r="F406" s="13" t="s">
        <v>1114</v>
      </c>
      <c r="G406" s="16"/>
      <c r="H406" s="16"/>
      <c r="I406" s="16">
        <v>2.3650000000000002</v>
      </c>
      <c r="J406" s="36">
        <f t="shared" si="6"/>
        <v>2.3650000000000002</v>
      </c>
    </row>
    <row r="407" spans="1:10" ht="31.5" x14ac:dyDescent="0.25">
      <c r="A407" s="23">
        <v>397</v>
      </c>
      <c r="B407" s="49" t="s">
        <v>3062</v>
      </c>
      <c r="C407" s="15" t="s">
        <v>1217</v>
      </c>
      <c r="D407" s="9" t="s">
        <v>1216</v>
      </c>
      <c r="E407" s="14" t="s">
        <v>1127</v>
      </c>
      <c r="F407" s="13" t="s">
        <v>1114</v>
      </c>
      <c r="G407" s="16"/>
      <c r="H407" s="16"/>
      <c r="I407" s="16">
        <v>5.4089999999999998</v>
      </c>
      <c r="J407" s="36">
        <f t="shared" si="6"/>
        <v>5.4089999999999998</v>
      </c>
    </row>
    <row r="408" spans="1:10" ht="47.25" x14ac:dyDescent="0.25">
      <c r="A408" s="23">
        <v>398</v>
      </c>
      <c r="B408" s="49" t="s">
        <v>3063</v>
      </c>
      <c r="C408" s="15" t="s">
        <v>38</v>
      </c>
      <c r="D408" s="9" t="s">
        <v>1215</v>
      </c>
      <c r="E408" s="14" t="s">
        <v>1127</v>
      </c>
      <c r="F408" s="13" t="s">
        <v>1114</v>
      </c>
      <c r="G408" s="16">
        <v>0.76700000000000002</v>
      </c>
      <c r="H408" s="16">
        <v>0.76700000000000002</v>
      </c>
      <c r="I408" s="16"/>
      <c r="J408" s="36">
        <f t="shared" si="6"/>
        <v>0.76700000000000002</v>
      </c>
    </row>
    <row r="409" spans="1:10" ht="47.25" x14ac:dyDescent="0.25">
      <c r="A409" s="23">
        <v>399</v>
      </c>
      <c r="B409" s="49" t="s">
        <v>3064</v>
      </c>
      <c r="C409" s="15" t="s">
        <v>38</v>
      </c>
      <c r="D409" s="9" t="s">
        <v>1214</v>
      </c>
      <c r="E409" s="14" t="s">
        <v>1127</v>
      </c>
      <c r="F409" s="13" t="s">
        <v>1114</v>
      </c>
      <c r="G409" s="16">
        <v>0.11600000000000001</v>
      </c>
      <c r="H409" s="16">
        <v>0.11600000000000001</v>
      </c>
      <c r="I409" s="16"/>
      <c r="J409" s="36">
        <f t="shared" si="6"/>
        <v>0.11600000000000001</v>
      </c>
    </row>
    <row r="410" spans="1:10" ht="31.5" x14ac:dyDescent="0.25">
      <c r="A410" s="23">
        <v>400</v>
      </c>
      <c r="B410" s="49" t="s">
        <v>3065</v>
      </c>
      <c r="C410" s="15" t="s">
        <v>38</v>
      </c>
      <c r="D410" s="9" t="s">
        <v>1213</v>
      </c>
      <c r="E410" s="14" t="s">
        <v>1127</v>
      </c>
      <c r="F410" s="13" t="s">
        <v>1114</v>
      </c>
      <c r="G410" s="16">
        <v>0.113</v>
      </c>
      <c r="H410" s="16">
        <v>0.113</v>
      </c>
      <c r="I410" s="16"/>
      <c r="J410" s="36">
        <f t="shared" si="6"/>
        <v>0.113</v>
      </c>
    </row>
    <row r="411" spans="1:10" ht="31.5" x14ac:dyDescent="0.25">
      <c r="A411" s="23">
        <v>401</v>
      </c>
      <c r="B411" s="49" t="s">
        <v>3066</v>
      </c>
      <c r="C411" s="15" t="s">
        <v>38</v>
      </c>
      <c r="D411" s="9" t="s">
        <v>1212</v>
      </c>
      <c r="E411" s="14" t="s">
        <v>1127</v>
      </c>
      <c r="F411" s="13" t="s">
        <v>1114</v>
      </c>
      <c r="G411" s="16">
        <v>0.09</v>
      </c>
      <c r="H411" s="16">
        <v>0.09</v>
      </c>
      <c r="I411" s="16"/>
      <c r="J411" s="36">
        <f t="shared" si="6"/>
        <v>0.09</v>
      </c>
    </row>
    <row r="412" spans="1:10" ht="31.5" x14ac:dyDescent="0.25">
      <c r="A412" s="23">
        <v>402</v>
      </c>
      <c r="B412" s="49" t="s">
        <v>3067</v>
      </c>
      <c r="C412" s="15" t="s">
        <v>38</v>
      </c>
      <c r="D412" s="9" t="s">
        <v>1211</v>
      </c>
      <c r="E412" s="14" t="s">
        <v>1127</v>
      </c>
      <c r="F412" s="13" t="s">
        <v>1114</v>
      </c>
      <c r="G412" s="16">
        <v>0.61799999999999999</v>
      </c>
      <c r="H412" s="16">
        <v>0.61799999999999999</v>
      </c>
      <c r="I412" s="16"/>
      <c r="J412" s="36">
        <f t="shared" si="6"/>
        <v>0.61799999999999999</v>
      </c>
    </row>
    <row r="413" spans="1:10" ht="31.5" x14ac:dyDescent="0.25">
      <c r="A413" s="23">
        <v>403</v>
      </c>
      <c r="B413" s="49" t="s">
        <v>3068</v>
      </c>
      <c r="C413" s="15" t="s">
        <v>38</v>
      </c>
      <c r="D413" s="9" t="s">
        <v>1210</v>
      </c>
      <c r="E413" s="14" t="s">
        <v>1127</v>
      </c>
      <c r="F413" s="13" t="s">
        <v>1114</v>
      </c>
      <c r="G413" s="16">
        <v>0.158</v>
      </c>
      <c r="H413" s="16">
        <v>0.158</v>
      </c>
      <c r="I413" s="16"/>
      <c r="J413" s="36">
        <f t="shared" si="6"/>
        <v>0.158</v>
      </c>
    </row>
    <row r="414" spans="1:10" ht="31.5" x14ac:dyDescent="0.25">
      <c r="A414" s="23">
        <v>404</v>
      </c>
      <c r="B414" s="49" t="s">
        <v>3069</v>
      </c>
      <c r="C414" s="15" t="s">
        <v>38</v>
      </c>
      <c r="D414" s="9" t="s">
        <v>1209</v>
      </c>
      <c r="E414" s="14" t="s">
        <v>1127</v>
      </c>
      <c r="F414" s="13" t="s">
        <v>1114</v>
      </c>
      <c r="G414" s="16">
        <v>6.9000000000000006E-2</v>
      </c>
      <c r="H414" s="16">
        <v>6.9000000000000006E-2</v>
      </c>
      <c r="I414" s="16"/>
      <c r="J414" s="36">
        <f t="shared" si="6"/>
        <v>6.9000000000000006E-2</v>
      </c>
    </row>
    <row r="415" spans="1:10" ht="39.75" customHeight="1" x14ac:dyDescent="0.25">
      <c r="A415" s="23">
        <v>405</v>
      </c>
      <c r="B415" s="49" t="s">
        <v>3070</v>
      </c>
      <c r="C415" s="15" t="s">
        <v>38</v>
      </c>
      <c r="D415" s="9" t="s">
        <v>1208</v>
      </c>
      <c r="E415" s="14" t="s">
        <v>1127</v>
      </c>
      <c r="F415" s="13" t="s">
        <v>1114</v>
      </c>
      <c r="G415" s="16">
        <v>0.10299999999999999</v>
      </c>
      <c r="H415" s="16">
        <v>0.10299999999999999</v>
      </c>
      <c r="I415" s="16">
        <v>2.1999999999999999E-2</v>
      </c>
      <c r="J415" s="36">
        <f t="shared" si="6"/>
        <v>0.125</v>
      </c>
    </row>
    <row r="416" spans="1:10" ht="31.5" x14ac:dyDescent="0.25">
      <c r="A416" s="23">
        <v>406</v>
      </c>
      <c r="B416" s="49" t="s">
        <v>3071</v>
      </c>
      <c r="C416" s="15" t="s">
        <v>38</v>
      </c>
      <c r="D416" s="9" t="s">
        <v>1207</v>
      </c>
      <c r="E416" s="14" t="s">
        <v>1127</v>
      </c>
      <c r="F416" s="13" t="s">
        <v>1114</v>
      </c>
      <c r="G416" s="16">
        <v>0.11799999999999999</v>
      </c>
      <c r="H416" s="16">
        <v>0.11799999999999999</v>
      </c>
      <c r="I416" s="16"/>
      <c r="J416" s="36">
        <f t="shared" si="6"/>
        <v>0.11799999999999999</v>
      </c>
    </row>
    <row r="417" spans="1:10" ht="31.5" x14ac:dyDescent="0.25">
      <c r="A417" s="23">
        <v>407</v>
      </c>
      <c r="B417" s="49" t="s">
        <v>3072</v>
      </c>
      <c r="C417" s="15" t="s">
        <v>38</v>
      </c>
      <c r="D417" s="9" t="s">
        <v>1206</v>
      </c>
      <c r="E417" s="14" t="s">
        <v>1127</v>
      </c>
      <c r="F417" s="13" t="s">
        <v>1114</v>
      </c>
      <c r="G417" s="16">
        <v>0.08</v>
      </c>
      <c r="H417" s="16">
        <v>0.08</v>
      </c>
      <c r="I417" s="16"/>
      <c r="J417" s="36">
        <f t="shared" si="6"/>
        <v>0.08</v>
      </c>
    </row>
    <row r="418" spans="1:10" ht="31.5" x14ac:dyDescent="0.25">
      <c r="A418" s="23">
        <v>408</v>
      </c>
      <c r="B418" s="49" t="s">
        <v>3073</v>
      </c>
      <c r="C418" s="15" t="s">
        <v>38</v>
      </c>
      <c r="D418" s="9" t="s">
        <v>1205</v>
      </c>
      <c r="E418" s="14" t="s">
        <v>1127</v>
      </c>
      <c r="F418" s="13" t="s">
        <v>1114</v>
      </c>
      <c r="G418" s="16">
        <v>0.439</v>
      </c>
      <c r="H418" s="16">
        <v>0.439</v>
      </c>
      <c r="I418" s="16"/>
      <c r="J418" s="36">
        <f t="shared" si="6"/>
        <v>0.439</v>
      </c>
    </row>
    <row r="419" spans="1:10" ht="31.5" x14ac:dyDescent="0.25">
      <c r="A419" s="23">
        <v>409</v>
      </c>
      <c r="B419" s="49" t="s">
        <v>3074</v>
      </c>
      <c r="C419" s="15" t="s">
        <v>38</v>
      </c>
      <c r="D419" s="9" t="s">
        <v>1204</v>
      </c>
      <c r="E419" s="14" t="s">
        <v>1127</v>
      </c>
      <c r="F419" s="13" t="s">
        <v>1114</v>
      </c>
      <c r="G419" s="16">
        <v>0.11799999999999999</v>
      </c>
      <c r="H419" s="16">
        <v>0.11799999999999999</v>
      </c>
      <c r="I419" s="16"/>
      <c r="J419" s="36">
        <f t="shared" si="6"/>
        <v>0.11799999999999999</v>
      </c>
    </row>
    <row r="420" spans="1:10" ht="31.5" x14ac:dyDescent="0.25">
      <c r="A420" s="23">
        <v>410</v>
      </c>
      <c r="B420" s="49" t="s">
        <v>3075</v>
      </c>
      <c r="C420" s="15" t="s">
        <v>38</v>
      </c>
      <c r="D420" s="9" t="s">
        <v>1203</v>
      </c>
      <c r="E420" s="14" t="s">
        <v>1127</v>
      </c>
      <c r="F420" s="13" t="s">
        <v>1114</v>
      </c>
      <c r="G420" s="16">
        <v>0.19800000000000001</v>
      </c>
      <c r="H420" s="16">
        <v>0.19800000000000001</v>
      </c>
      <c r="I420" s="16"/>
      <c r="J420" s="36">
        <f t="shared" si="6"/>
        <v>0.19800000000000001</v>
      </c>
    </row>
    <row r="421" spans="1:10" ht="31.5" x14ac:dyDescent="0.25">
      <c r="A421" s="23">
        <v>411</v>
      </c>
      <c r="B421" s="49" t="s">
        <v>3076</v>
      </c>
      <c r="C421" s="15" t="s">
        <v>38</v>
      </c>
      <c r="D421" s="9" t="s">
        <v>1202</v>
      </c>
      <c r="E421" s="14" t="s">
        <v>1127</v>
      </c>
      <c r="F421" s="13" t="s">
        <v>1114</v>
      </c>
      <c r="G421" s="16">
        <v>0.23100000000000001</v>
      </c>
      <c r="H421" s="16">
        <v>0.23100000000000001</v>
      </c>
      <c r="I421" s="16"/>
      <c r="J421" s="36">
        <f t="shared" si="6"/>
        <v>0.23100000000000001</v>
      </c>
    </row>
    <row r="422" spans="1:10" ht="31.5" x14ac:dyDescent="0.25">
      <c r="A422" s="23">
        <v>412</v>
      </c>
      <c r="B422" s="49" t="s">
        <v>3077</v>
      </c>
      <c r="C422" s="15" t="s">
        <v>38</v>
      </c>
      <c r="D422" s="9" t="s">
        <v>1201</v>
      </c>
      <c r="E422" s="14" t="s">
        <v>1127</v>
      </c>
      <c r="F422" s="13" t="s">
        <v>1114</v>
      </c>
      <c r="G422" s="16"/>
      <c r="H422" s="16"/>
      <c r="I422" s="16">
        <v>0.29699999999999999</v>
      </c>
      <c r="J422" s="36">
        <f t="shared" si="6"/>
        <v>0.29699999999999999</v>
      </c>
    </row>
    <row r="423" spans="1:10" ht="31.5" x14ac:dyDescent="0.25">
      <c r="A423" s="23">
        <v>413</v>
      </c>
      <c r="B423" s="49" t="s">
        <v>3078</v>
      </c>
      <c r="C423" s="15" t="s">
        <v>38</v>
      </c>
      <c r="D423" s="9" t="s">
        <v>1200</v>
      </c>
      <c r="E423" s="14" t="s">
        <v>1127</v>
      </c>
      <c r="F423" s="13" t="s">
        <v>1114</v>
      </c>
      <c r="G423" s="16">
        <v>0.15</v>
      </c>
      <c r="H423" s="16">
        <v>0.15</v>
      </c>
      <c r="I423" s="16"/>
      <c r="J423" s="36">
        <f t="shared" si="6"/>
        <v>0.15</v>
      </c>
    </row>
    <row r="424" spans="1:10" ht="31.5" x14ac:dyDescent="0.25">
      <c r="A424" s="23">
        <v>414</v>
      </c>
      <c r="B424" s="49" t="s">
        <v>3079</v>
      </c>
      <c r="C424" s="15" t="s">
        <v>38</v>
      </c>
      <c r="D424" s="9" t="s">
        <v>1199</v>
      </c>
      <c r="E424" s="14" t="s">
        <v>1127</v>
      </c>
      <c r="F424" s="13" t="s">
        <v>1114</v>
      </c>
      <c r="G424" s="16">
        <v>0.19400000000000001</v>
      </c>
      <c r="H424" s="16">
        <v>0.19400000000000001</v>
      </c>
      <c r="I424" s="16"/>
      <c r="J424" s="36">
        <f t="shared" si="6"/>
        <v>0.19400000000000001</v>
      </c>
    </row>
    <row r="425" spans="1:10" ht="31.5" x14ac:dyDescent="0.25">
      <c r="A425" s="23">
        <v>415</v>
      </c>
      <c r="B425" s="49" t="s">
        <v>3080</v>
      </c>
      <c r="C425" s="15" t="s">
        <v>38</v>
      </c>
      <c r="D425" s="9" t="s">
        <v>1198</v>
      </c>
      <c r="E425" s="14" t="s">
        <v>1127</v>
      </c>
      <c r="F425" s="13" t="s">
        <v>1114</v>
      </c>
      <c r="G425" s="16">
        <v>0.16400000000000001</v>
      </c>
      <c r="H425" s="16">
        <v>0.16400000000000001</v>
      </c>
      <c r="I425" s="16"/>
      <c r="J425" s="36">
        <f t="shared" si="6"/>
        <v>0.16400000000000001</v>
      </c>
    </row>
    <row r="426" spans="1:10" ht="31.5" x14ac:dyDescent="0.25">
      <c r="A426" s="23">
        <v>416</v>
      </c>
      <c r="B426" s="49" t="s">
        <v>3081</v>
      </c>
      <c r="C426" s="15" t="s">
        <v>38</v>
      </c>
      <c r="D426" s="9" t="s">
        <v>1197</v>
      </c>
      <c r="E426" s="14" t="s">
        <v>1127</v>
      </c>
      <c r="F426" s="13" t="s">
        <v>1114</v>
      </c>
      <c r="G426" s="16">
        <v>0.375</v>
      </c>
      <c r="H426" s="16">
        <v>0.375</v>
      </c>
      <c r="I426" s="16"/>
      <c r="J426" s="36">
        <f t="shared" si="6"/>
        <v>0.375</v>
      </c>
    </row>
    <row r="427" spans="1:10" ht="31.5" x14ac:dyDescent="0.25">
      <c r="A427" s="23">
        <v>417</v>
      </c>
      <c r="B427" s="49" t="s">
        <v>3082</v>
      </c>
      <c r="C427" s="15" t="s">
        <v>38</v>
      </c>
      <c r="D427" s="9" t="s">
        <v>1196</v>
      </c>
      <c r="E427" s="14" t="s">
        <v>1127</v>
      </c>
      <c r="F427" s="13" t="s">
        <v>1114</v>
      </c>
      <c r="G427" s="16">
        <v>0.35199999999999998</v>
      </c>
      <c r="H427" s="16">
        <v>0.35199999999999998</v>
      </c>
      <c r="I427" s="16"/>
      <c r="J427" s="36">
        <f t="shared" si="6"/>
        <v>0.35199999999999998</v>
      </c>
    </row>
    <row r="428" spans="1:10" ht="31.5" customHeight="1" x14ac:dyDescent="0.25">
      <c r="A428" s="23">
        <v>418</v>
      </c>
      <c r="B428" s="49" t="s">
        <v>3083</v>
      </c>
      <c r="C428" s="15" t="s">
        <v>38</v>
      </c>
      <c r="D428" s="9" t="s">
        <v>1195</v>
      </c>
      <c r="E428" s="14" t="s">
        <v>1127</v>
      </c>
      <c r="F428" s="13" t="s">
        <v>1114</v>
      </c>
      <c r="G428" s="16">
        <v>0.85199999999999998</v>
      </c>
      <c r="H428" s="16">
        <v>0.85199999999999998</v>
      </c>
      <c r="I428" s="16"/>
      <c r="J428" s="36">
        <f t="shared" si="6"/>
        <v>0.85199999999999998</v>
      </c>
    </row>
    <row r="429" spans="1:10" ht="47.25" x14ac:dyDescent="0.25">
      <c r="A429" s="23">
        <v>419</v>
      </c>
      <c r="B429" s="49" t="s">
        <v>3084</v>
      </c>
      <c r="C429" s="15" t="s">
        <v>38</v>
      </c>
      <c r="D429" s="9" t="s">
        <v>1194</v>
      </c>
      <c r="E429" s="14" t="s">
        <v>1127</v>
      </c>
      <c r="F429" s="13" t="s">
        <v>1114</v>
      </c>
      <c r="G429" s="16">
        <v>0.61399999999999999</v>
      </c>
      <c r="H429" s="16">
        <v>0.61399999999999999</v>
      </c>
      <c r="I429" s="16"/>
      <c r="J429" s="36">
        <f t="shared" si="6"/>
        <v>0.61399999999999999</v>
      </c>
    </row>
    <row r="430" spans="1:10" ht="31.5" x14ac:dyDescent="0.25">
      <c r="A430" s="23">
        <v>420</v>
      </c>
      <c r="B430" s="49" t="s">
        <v>3085</v>
      </c>
      <c r="C430" s="15" t="s">
        <v>38</v>
      </c>
      <c r="D430" s="9" t="s">
        <v>1193</v>
      </c>
      <c r="E430" s="14" t="s">
        <v>1127</v>
      </c>
      <c r="F430" s="13" t="s">
        <v>1114</v>
      </c>
      <c r="G430" s="16">
        <v>0.254</v>
      </c>
      <c r="H430" s="16">
        <v>0.254</v>
      </c>
      <c r="I430" s="16"/>
      <c r="J430" s="36">
        <f t="shared" si="6"/>
        <v>0.254</v>
      </c>
    </row>
    <row r="431" spans="1:10" ht="31.5" x14ac:dyDescent="0.25">
      <c r="A431" s="23">
        <v>421</v>
      </c>
      <c r="B431" s="49" t="s">
        <v>3086</v>
      </c>
      <c r="C431" s="15" t="s">
        <v>38</v>
      </c>
      <c r="D431" s="9" t="s">
        <v>1192</v>
      </c>
      <c r="E431" s="14" t="s">
        <v>1127</v>
      </c>
      <c r="F431" s="13" t="s">
        <v>1114</v>
      </c>
      <c r="G431" s="16">
        <v>0.46800000000000003</v>
      </c>
      <c r="H431" s="16">
        <v>0.46800000000000003</v>
      </c>
      <c r="I431" s="16"/>
      <c r="J431" s="36">
        <f t="shared" si="6"/>
        <v>0.46800000000000003</v>
      </c>
    </row>
    <row r="432" spans="1:10" ht="31.5" x14ac:dyDescent="0.25">
      <c r="A432" s="23">
        <v>422</v>
      </c>
      <c r="B432" s="49" t="s">
        <v>3087</v>
      </c>
      <c r="C432" s="15" t="s">
        <v>38</v>
      </c>
      <c r="D432" s="9" t="s">
        <v>1191</v>
      </c>
      <c r="E432" s="14" t="s">
        <v>1127</v>
      </c>
      <c r="F432" s="13" t="s">
        <v>1114</v>
      </c>
      <c r="G432" s="16">
        <v>0.46</v>
      </c>
      <c r="H432" s="16">
        <v>0.46</v>
      </c>
      <c r="I432" s="16"/>
      <c r="J432" s="36">
        <f t="shared" si="6"/>
        <v>0.46</v>
      </c>
    </row>
    <row r="433" spans="1:10" ht="31.5" x14ac:dyDescent="0.25">
      <c r="A433" s="23">
        <v>423</v>
      </c>
      <c r="B433" s="49" t="s">
        <v>3088</v>
      </c>
      <c r="C433" s="15" t="s">
        <v>38</v>
      </c>
      <c r="D433" s="9" t="s">
        <v>1190</v>
      </c>
      <c r="E433" s="14" t="s">
        <v>1127</v>
      </c>
      <c r="F433" s="13" t="s">
        <v>1114</v>
      </c>
      <c r="G433" s="16">
        <v>0.73899999999999999</v>
      </c>
      <c r="H433" s="16">
        <v>0.73899999999999999</v>
      </c>
      <c r="I433" s="16"/>
      <c r="J433" s="36">
        <f t="shared" si="6"/>
        <v>0.73899999999999999</v>
      </c>
    </row>
    <row r="434" spans="1:10" ht="31.5" x14ac:dyDescent="0.25">
      <c r="A434" s="23">
        <v>424</v>
      </c>
      <c r="B434" s="49" t="s">
        <v>3089</v>
      </c>
      <c r="C434" s="15" t="s">
        <v>38</v>
      </c>
      <c r="D434" s="9" t="s">
        <v>1189</v>
      </c>
      <c r="E434" s="14" t="s">
        <v>1127</v>
      </c>
      <c r="F434" s="13" t="s">
        <v>1114</v>
      </c>
      <c r="G434" s="16">
        <v>1.143</v>
      </c>
      <c r="H434" s="16">
        <v>1.143</v>
      </c>
      <c r="I434" s="16">
        <v>8.6999999999999994E-2</v>
      </c>
      <c r="J434" s="36">
        <f t="shared" si="6"/>
        <v>1.23</v>
      </c>
    </row>
    <row r="435" spans="1:10" ht="31.5" x14ac:dyDescent="0.25">
      <c r="A435" s="23">
        <v>425</v>
      </c>
      <c r="B435" s="49" t="s">
        <v>3090</v>
      </c>
      <c r="C435" s="15" t="s">
        <v>38</v>
      </c>
      <c r="D435" s="9" t="s">
        <v>1188</v>
      </c>
      <c r="E435" s="14" t="s">
        <v>1127</v>
      </c>
      <c r="F435" s="13" t="s">
        <v>1114</v>
      </c>
      <c r="G435" s="16">
        <v>2.3439999999999999</v>
      </c>
      <c r="H435" s="16">
        <v>2.3439999999999999</v>
      </c>
      <c r="I435" s="16">
        <v>5.6000000000000001E-2</v>
      </c>
      <c r="J435" s="36">
        <f t="shared" si="6"/>
        <v>2.4</v>
      </c>
    </row>
    <row r="436" spans="1:10" ht="31.5" x14ac:dyDescent="0.25">
      <c r="A436" s="23">
        <v>426</v>
      </c>
      <c r="B436" s="49" t="s">
        <v>3091</v>
      </c>
      <c r="C436" s="15" t="s">
        <v>38</v>
      </c>
      <c r="D436" s="9" t="s">
        <v>1187</v>
      </c>
      <c r="E436" s="14" t="s">
        <v>1127</v>
      </c>
      <c r="F436" s="13" t="s">
        <v>1114</v>
      </c>
      <c r="G436" s="16">
        <v>1.145</v>
      </c>
      <c r="H436" s="16">
        <v>1.145</v>
      </c>
      <c r="I436" s="16"/>
      <c r="J436" s="36">
        <f t="shared" si="6"/>
        <v>1.145</v>
      </c>
    </row>
    <row r="437" spans="1:10" ht="47.25" x14ac:dyDescent="0.25">
      <c r="A437" s="23">
        <v>427</v>
      </c>
      <c r="B437" s="49" t="s">
        <v>3092</v>
      </c>
      <c r="C437" s="15" t="s">
        <v>38</v>
      </c>
      <c r="D437" s="9" t="s">
        <v>1186</v>
      </c>
      <c r="E437" s="14" t="s">
        <v>1127</v>
      </c>
      <c r="F437" s="13" t="s">
        <v>1114</v>
      </c>
      <c r="G437" s="16">
        <v>0.97</v>
      </c>
      <c r="H437" s="16">
        <v>0.97</v>
      </c>
      <c r="I437" s="16"/>
      <c r="J437" s="36">
        <f t="shared" si="6"/>
        <v>0.97</v>
      </c>
    </row>
    <row r="438" spans="1:10" ht="31.5" x14ac:dyDescent="0.25">
      <c r="A438" s="23">
        <v>428</v>
      </c>
      <c r="B438" s="49" t="s">
        <v>3093</v>
      </c>
      <c r="C438" s="15" t="s">
        <v>38</v>
      </c>
      <c r="D438" s="9" t="s">
        <v>1185</v>
      </c>
      <c r="E438" s="14" t="s">
        <v>1127</v>
      </c>
      <c r="F438" s="13" t="s">
        <v>1114</v>
      </c>
      <c r="G438" s="16">
        <v>1.1910000000000001</v>
      </c>
      <c r="H438" s="16">
        <v>1.1910000000000001</v>
      </c>
      <c r="I438" s="16"/>
      <c r="J438" s="36">
        <f t="shared" si="6"/>
        <v>1.1910000000000001</v>
      </c>
    </row>
    <row r="439" spans="1:10" ht="31.5" x14ac:dyDescent="0.25">
      <c r="A439" s="23">
        <v>429</v>
      </c>
      <c r="B439" s="49" t="s">
        <v>3094</v>
      </c>
      <c r="C439" s="15" t="s">
        <v>38</v>
      </c>
      <c r="D439" s="9" t="s">
        <v>1184</v>
      </c>
      <c r="E439" s="14" t="s">
        <v>1127</v>
      </c>
      <c r="F439" s="13" t="s">
        <v>1114</v>
      </c>
      <c r="G439" s="16">
        <v>0.79900000000000004</v>
      </c>
      <c r="H439" s="16">
        <v>0.79900000000000004</v>
      </c>
      <c r="I439" s="16"/>
      <c r="J439" s="36">
        <f t="shared" si="6"/>
        <v>0.79900000000000004</v>
      </c>
    </row>
    <row r="440" spans="1:10" ht="31.5" x14ac:dyDescent="0.25">
      <c r="A440" s="23">
        <v>430</v>
      </c>
      <c r="B440" s="49" t="s">
        <v>3095</v>
      </c>
      <c r="C440" s="15" t="s">
        <v>38</v>
      </c>
      <c r="D440" s="9" t="s">
        <v>1183</v>
      </c>
      <c r="E440" s="14" t="s">
        <v>1127</v>
      </c>
      <c r="F440" s="13" t="s">
        <v>1114</v>
      </c>
      <c r="G440" s="16">
        <v>0.48499999999999999</v>
      </c>
      <c r="H440" s="16">
        <v>0.48499999999999999</v>
      </c>
      <c r="I440" s="16"/>
      <c r="J440" s="36">
        <f t="shared" si="6"/>
        <v>0.48499999999999999</v>
      </c>
    </row>
    <row r="441" spans="1:10" ht="31.5" x14ac:dyDescent="0.25">
      <c r="A441" s="23">
        <v>431</v>
      </c>
      <c r="B441" s="49" t="s">
        <v>3096</v>
      </c>
      <c r="C441" s="15" t="s">
        <v>38</v>
      </c>
      <c r="D441" s="9" t="s">
        <v>1182</v>
      </c>
      <c r="E441" s="14" t="s">
        <v>1127</v>
      </c>
      <c r="F441" s="13" t="s">
        <v>1114</v>
      </c>
      <c r="G441" s="16">
        <v>0.17799999999999999</v>
      </c>
      <c r="H441" s="16">
        <v>0.17799999999999999</v>
      </c>
      <c r="I441" s="16"/>
      <c r="J441" s="36">
        <f t="shared" si="6"/>
        <v>0.17799999999999999</v>
      </c>
    </row>
    <row r="442" spans="1:10" ht="31.5" x14ac:dyDescent="0.25">
      <c r="A442" s="23">
        <v>432</v>
      </c>
      <c r="B442" s="49" t="s">
        <v>3097</v>
      </c>
      <c r="C442" s="15" t="s">
        <v>38</v>
      </c>
      <c r="D442" s="9" t="s">
        <v>1181</v>
      </c>
      <c r="E442" s="14" t="s">
        <v>1127</v>
      </c>
      <c r="F442" s="13" t="s">
        <v>1114</v>
      </c>
      <c r="G442" s="16">
        <v>0.14099999999999999</v>
      </c>
      <c r="H442" s="16">
        <v>0.14099999999999999</v>
      </c>
      <c r="I442" s="16"/>
      <c r="J442" s="36">
        <f t="shared" si="6"/>
        <v>0.14099999999999999</v>
      </c>
    </row>
    <row r="443" spans="1:10" ht="31.5" x14ac:dyDescent="0.25">
      <c r="A443" s="23">
        <v>433</v>
      </c>
      <c r="B443" s="49" t="s">
        <v>3098</v>
      </c>
      <c r="C443" s="15" t="s">
        <v>38</v>
      </c>
      <c r="D443" s="9" t="s">
        <v>1180</v>
      </c>
      <c r="E443" s="14" t="s">
        <v>1127</v>
      </c>
      <c r="F443" s="13" t="s">
        <v>1114</v>
      </c>
      <c r="G443" s="16">
        <v>0.21</v>
      </c>
      <c r="H443" s="16">
        <v>0.21</v>
      </c>
      <c r="I443" s="16"/>
      <c r="J443" s="36">
        <f t="shared" si="6"/>
        <v>0.21</v>
      </c>
    </row>
    <row r="444" spans="1:10" ht="31.5" x14ac:dyDescent="0.25">
      <c r="A444" s="23">
        <v>434</v>
      </c>
      <c r="B444" s="49" t="s">
        <v>3099</v>
      </c>
      <c r="C444" s="15" t="s">
        <v>38</v>
      </c>
      <c r="D444" s="9" t="s">
        <v>1179</v>
      </c>
      <c r="E444" s="14" t="s">
        <v>1127</v>
      </c>
      <c r="F444" s="13" t="s">
        <v>1114</v>
      </c>
      <c r="G444" s="16">
        <v>0.46700000000000003</v>
      </c>
      <c r="H444" s="16">
        <v>0.46700000000000003</v>
      </c>
      <c r="I444" s="16"/>
      <c r="J444" s="36">
        <f t="shared" si="6"/>
        <v>0.46700000000000003</v>
      </c>
    </row>
    <row r="445" spans="1:10" ht="31.5" x14ac:dyDescent="0.25">
      <c r="A445" s="23">
        <v>435</v>
      </c>
      <c r="B445" s="49" t="s">
        <v>3100</v>
      </c>
      <c r="C445" s="15" t="s">
        <v>38</v>
      </c>
      <c r="D445" s="9" t="s">
        <v>1178</v>
      </c>
      <c r="E445" s="14" t="s">
        <v>1127</v>
      </c>
      <c r="F445" s="13" t="s">
        <v>1114</v>
      </c>
      <c r="G445" s="16">
        <v>6.9000000000000006E-2</v>
      </c>
      <c r="H445" s="16">
        <v>6.9000000000000006E-2</v>
      </c>
      <c r="I445" s="16"/>
      <c r="J445" s="36">
        <f t="shared" si="6"/>
        <v>6.9000000000000006E-2</v>
      </c>
    </row>
    <row r="446" spans="1:10" ht="31.5" x14ac:dyDescent="0.25">
      <c r="A446" s="23">
        <v>436</v>
      </c>
      <c r="B446" s="49" t="s">
        <v>3101</v>
      </c>
      <c r="C446" s="15" t="s">
        <v>38</v>
      </c>
      <c r="D446" s="9" t="s">
        <v>1177</v>
      </c>
      <c r="E446" s="14" t="s">
        <v>1127</v>
      </c>
      <c r="F446" s="13" t="s">
        <v>1114</v>
      </c>
      <c r="G446" s="16">
        <v>0.14599999999999999</v>
      </c>
      <c r="H446" s="16">
        <v>0.14599999999999999</v>
      </c>
      <c r="I446" s="16"/>
      <c r="J446" s="36">
        <f t="shared" si="6"/>
        <v>0.14599999999999999</v>
      </c>
    </row>
    <row r="447" spans="1:10" ht="31.5" x14ac:dyDescent="0.25">
      <c r="A447" s="23">
        <v>437</v>
      </c>
      <c r="B447" s="49" t="s">
        <v>3102</v>
      </c>
      <c r="C447" s="15" t="s">
        <v>38</v>
      </c>
      <c r="D447" s="9" t="s">
        <v>1176</v>
      </c>
      <c r="E447" s="14" t="s">
        <v>1127</v>
      </c>
      <c r="F447" s="13" t="s">
        <v>1114</v>
      </c>
      <c r="G447" s="16">
        <v>0.26200000000000001</v>
      </c>
      <c r="H447" s="16">
        <v>0.26200000000000001</v>
      </c>
      <c r="I447" s="16"/>
      <c r="J447" s="36">
        <f t="shared" si="6"/>
        <v>0.26200000000000001</v>
      </c>
    </row>
    <row r="448" spans="1:10" ht="31.5" x14ac:dyDescent="0.25">
      <c r="A448" s="23">
        <v>438</v>
      </c>
      <c r="B448" s="49" t="s">
        <v>3103</v>
      </c>
      <c r="C448" s="15" t="s">
        <v>38</v>
      </c>
      <c r="D448" s="9" t="s">
        <v>1175</v>
      </c>
      <c r="E448" s="14" t="s">
        <v>1127</v>
      </c>
      <c r="F448" s="13" t="s">
        <v>1114</v>
      </c>
      <c r="G448" s="16">
        <v>0.23799999999999999</v>
      </c>
      <c r="H448" s="16">
        <v>0.23799999999999999</v>
      </c>
      <c r="I448" s="16"/>
      <c r="J448" s="36">
        <f t="shared" si="6"/>
        <v>0.23799999999999999</v>
      </c>
    </row>
    <row r="449" spans="1:10" ht="31.5" x14ac:dyDescent="0.25">
      <c r="A449" s="23">
        <v>439</v>
      </c>
      <c r="B449" s="49" t="s">
        <v>3104</v>
      </c>
      <c r="C449" s="15" t="s">
        <v>38</v>
      </c>
      <c r="D449" s="9" t="s">
        <v>1174</v>
      </c>
      <c r="E449" s="14" t="s">
        <v>1127</v>
      </c>
      <c r="F449" s="13" t="s">
        <v>1114</v>
      </c>
      <c r="G449" s="16">
        <v>5.1999999999999998E-2</v>
      </c>
      <c r="H449" s="16">
        <v>5.1999999999999998E-2</v>
      </c>
      <c r="I449" s="16"/>
      <c r="J449" s="36">
        <f t="shared" si="6"/>
        <v>5.1999999999999998E-2</v>
      </c>
    </row>
    <row r="450" spans="1:10" ht="31.5" x14ac:dyDescent="0.25">
      <c r="A450" s="23">
        <v>440</v>
      </c>
      <c r="B450" s="49" t="s">
        <v>3105</v>
      </c>
      <c r="C450" s="15" t="s">
        <v>38</v>
      </c>
      <c r="D450" s="9" t="s">
        <v>1173</v>
      </c>
      <c r="E450" s="14" t="s">
        <v>1127</v>
      </c>
      <c r="F450" s="13" t="s">
        <v>1114</v>
      </c>
      <c r="G450" s="16">
        <v>2.5000000000000001E-2</v>
      </c>
      <c r="H450" s="16">
        <v>2.5000000000000001E-2</v>
      </c>
      <c r="I450" s="16"/>
      <c r="J450" s="36">
        <f t="shared" si="6"/>
        <v>2.5000000000000001E-2</v>
      </c>
    </row>
    <row r="451" spans="1:10" ht="31.5" x14ac:dyDescent="0.25">
      <c r="A451" s="23">
        <v>441</v>
      </c>
      <c r="B451" s="49" t="s">
        <v>3106</v>
      </c>
      <c r="C451" s="15" t="s">
        <v>38</v>
      </c>
      <c r="D451" s="9" t="s">
        <v>1172</v>
      </c>
      <c r="E451" s="14" t="s">
        <v>1127</v>
      </c>
      <c r="F451" s="13" t="s">
        <v>1114</v>
      </c>
      <c r="G451" s="16">
        <v>0.1</v>
      </c>
      <c r="H451" s="16">
        <v>0.1</v>
      </c>
      <c r="I451" s="16"/>
      <c r="J451" s="36">
        <f t="shared" si="6"/>
        <v>0.1</v>
      </c>
    </row>
    <row r="452" spans="1:10" ht="31.5" x14ac:dyDescent="0.25">
      <c r="A452" s="23">
        <v>442</v>
      </c>
      <c r="B452" s="49" t="s">
        <v>3107</v>
      </c>
      <c r="C452" s="15" t="s">
        <v>38</v>
      </c>
      <c r="D452" s="9" t="s">
        <v>1171</v>
      </c>
      <c r="E452" s="14" t="s">
        <v>1127</v>
      </c>
      <c r="F452" s="13" t="s">
        <v>1114</v>
      </c>
      <c r="G452" s="16">
        <v>0.30199999999999999</v>
      </c>
      <c r="H452" s="16">
        <v>0.30199999999999999</v>
      </c>
      <c r="I452" s="16"/>
      <c r="J452" s="36">
        <f t="shared" si="6"/>
        <v>0.30199999999999999</v>
      </c>
    </row>
    <row r="453" spans="1:10" ht="31.5" x14ac:dyDescent="0.25">
      <c r="A453" s="23">
        <v>443</v>
      </c>
      <c r="B453" s="49" t="s">
        <v>3108</v>
      </c>
      <c r="C453" s="15" t="s">
        <v>38</v>
      </c>
      <c r="D453" s="9" t="s">
        <v>1170</v>
      </c>
      <c r="E453" s="14" t="s">
        <v>1127</v>
      </c>
      <c r="F453" s="13" t="s">
        <v>1114</v>
      </c>
      <c r="G453" s="16">
        <v>0.14099999999999999</v>
      </c>
      <c r="H453" s="16">
        <v>0.14099999999999999</v>
      </c>
      <c r="I453" s="16"/>
      <c r="J453" s="36">
        <f t="shared" si="6"/>
        <v>0.14099999999999999</v>
      </c>
    </row>
    <row r="454" spans="1:10" ht="47.25" x14ac:dyDescent="0.25">
      <c r="A454" s="23">
        <v>444</v>
      </c>
      <c r="B454" s="49" t="s">
        <v>3109</v>
      </c>
      <c r="C454" s="15" t="s">
        <v>38</v>
      </c>
      <c r="D454" s="9" t="s">
        <v>1169</v>
      </c>
      <c r="E454" s="14" t="s">
        <v>1127</v>
      </c>
      <c r="F454" s="13" t="s">
        <v>1114</v>
      </c>
      <c r="G454" s="16">
        <v>0.36799999999999999</v>
      </c>
      <c r="H454" s="16">
        <v>0.36799999999999999</v>
      </c>
      <c r="I454" s="16"/>
      <c r="J454" s="36">
        <f t="shared" si="6"/>
        <v>0.36799999999999999</v>
      </c>
    </row>
    <row r="455" spans="1:10" ht="47.25" x14ac:dyDescent="0.25">
      <c r="A455" s="23">
        <v>445</v>
      </c>
      <c r="B455" s="49" t="s">
        <v>3110</v>
      </c>
      <c r="C455" s="15" t="s">
        <v>38</v>
      </c>
      <c r="D455" s="9" t="s">
        <v>1168</v>
      </c>
      <c r="E455" s="14" t="s">
        <v>1127</v>
      </c>
      <c r="F455" s="13" t="s">
        <v>1114</v>
      </c>
      <c r="G455" s="16">
        <v>0.46</v>
      </c>
      <c r="H455" s="16">
        <v>0.46</v>
      </c>
      <c r="I455" s="16"/>
      <c r="J455" s="36">
        <f t="shared" si="6"/>
        <v>0.46</v>
      </c>
    </row>
    <row r="456" spans="1:10" ht="31.5" x14ac:dyDescent="0.25">
      <c r="A456" s="23">
        <v>446</v>
      </c>
      <c r="B456" s="49" t="s">
        <v>3111</v>
      </c>
      <c r="C456" s="15" t="s">
        <v>38</v>
      </c>
      <c r="D456" s="9" t="s">
        <v>1167</v>
      </c>
      <c r="E456" s="14" t="s">
        <v>1127</v>
      </c>
      <c r="F456" s="13" t="s">
        <v>1114</v>
      </c>
      <c r="G456" s="16"/>
      <c r="H456" s="16"/>
      <c r="I456" s="16">
        <v>0.27500000000000002</v>
      </c>
      <c r="J456" s="36">
        <f t="shared" si="6"/>
        <v>0.27500000000000002</v>
      </c>
    </row>
    <row r="457" spans="1:10" ht="31.5" x14ac:dyDescent="0.25">
      <c r="A457" s="23">
        <v>447</v>
      </c>
      <c r="B457" s="49" t="s">
        <v>3112</v>
      </c>
      <c r="C457" s="15" t="s">
        <v>38</v>
      </c>
      <c r="D457" s="9" t="s">
        <v>1166</v>
      </c>
      <c r="E457" s="14" t="s">
        <v>1127</v>
      </c>
      <c r="F457" s="13" t="s">
        <v>1114</v>
      </c>
      <c r="G457" s="16">
        <v>7.3999999999999996E-2</v>
      </c>
      <c r="H457" s="16">
        <v>7.3999999999999996E-2</v>
      </c>
      <c r="I457" s="16"/>
      <c r="J457" s="36">
        <f t="shared" si="6"/>
        <v>7.3999999999999996E-2</v>
      </c>
    </row>
    <row r="458" spans="1:10" ht="31.5" x14ac:dyDescent="0.25">
      <c r="A458" s="23">
        <v>448</v>
      </c>
      <c r="B458" s="49" t="s">
        <v>3113</v>
      </c>
      <c r="C458" s="15" t="s">
        <v>38</v>
      </c>
      <c r="D458" s="9" t="s">
        <v>1165</v>
      </c>
      <c r="E458" s="14" t="s">
        <v>1127</v>
      </c>
      <c r="F458" s="13" t="s">
        <v>1114</v>
      </c>
      <c r="G458" s="16">
        <v>0.03</v>
      </c>
      <c r="H458" s="16">
        <v>0.03</v>
      </c>
      <c r="I458" s="16"/>
      <c r="J458" s="36">
        <f t="shared" si="6"/>
        <v>0.03</v>
      </c>
    </row>
    <row r="459" spans="1:10" ht="31.5" x14ac:dyDescent="0.25">
      <c r="A459" s="23">
        <v>449</v>
      </c>
      <c r="B459" s="49" t="s">
        <v>3114</v>
      </c>
      <c r="C459" s="15" t="s">
        <v>38</v>
      </c>
      <c r="D459" s="9" t="s">
        <v>1164</v>
      </c>
      <c r="E459" s="14" t="s">
        <v>1127</v>
      </c>
      <c r="F459" s="13" t="s">
        <v>1114</v>
      </c>
      <c r="G459" s="16">
        <v>3.3000000000000002E-2</v>
      </c>
      <c r="H459" s="16">
        <v>3.3000000000000002E-2</v>
      </c>
      <c r="I459" s="16"/>
      <c r="J459" s="36">
        <f t="shared" ref="J459:J510" si="7">G459+I459</f>
        <v>3.3000000000000002E-2</v>
      </c>
    </row>
    <row r="460" spans="1:10" ht="31.5" x14ac:dyDescent="0.25">
      <c r="A460" s="23">
        <v>450</v>
      </c>
      <c r="B460" s="49" t="s">
        <v>3115</v>
      </c>
      <c r="C460" s="15" t="s">
        <v>38</v>
      </c>
      <c r="D460" s="9" t="s">
        <v>1163</v>
      </c>
      <c r="E460" s="14" t="s">
        <v>1127</v>
      </c>
      <c r="F460" s="13" t="s">
        <v>1114</v>
      </c>
      <c r="G460" s="16">
        <v>0.311</v>
      </c>
      <c r="H460" s="16">
        <v>0.311</v>
      </c>
      <c r="I460" s="16"/>
      <c r="J460" s="36">
        <f t="shared" si="7"/>
        <v>0.311</v>
      </c>
    </row>
    <row r="461" spans="1:10" ht="31.5" x14ac:dyDescent="0.25">
      <c r="A461" s="23">
        <v>451</v>
      </c>
      <c r="B461" s="49" t="s">
        <v>3116</v>
      </c>
      <c r="C461" s="15" t="s">
        <v>38</v>
      </c>
      <c r="D461" s="9" t="s">
        <v>1162</v>
      </c>
      <c r="E461" s="14" t="s">
        <v>1127</v>
      </c>
      <c r="F461" s="13" t="s">
        <v>1114</v>
      </c>
      <c r="G461" s="16">
        <v>2.4E-2</v>
      </c>
      <c r="H461" s="16">
        <v>2.4E-2</v>
      </c>
      <c r="I461" s="16">
        <v>0.17299999999999999</v>
      </c>
      <c r="J461" s="36">
        <f t="shared" si="7"/>
        <v>0.19699999999999998</v>
      </c>
    </row>
    <row r="462" spans="1:10" ht="31.5" x14ac:dyDescent="0.25">
      <c r="A462" s="23">
        <v>452</v>
      </c>
      <c r="B462" s="49" t="s">
        <v>3117</v>
      </c>
      <c r="C462" s="15" t="s">
        <v>38</v>
      </c>
      <c r="D462" s="9" t="s">
        <v>1161</v>
      </c>
      <c r="E462" s="14" t="s">
        <v>1127</v>
      </c>
      <c r="F462" s="13" t="s">
        <v>1114</v>
      </c>
      <c r="G462" s="16">
        <v>0.114</v>
      </c>
      <c r="H462" s="16">
        <v>0.114</v>
      </c>
      <c r="I462" s="16">
        <v>2.1000000000000001E-2</v>
      </c>
      <c r="J462" s="36">
        <f t="shared" si="7"/>
        <v>0.13500000000000001</v>
      </c>
    </row>
    <row r="463" spans="1:10" ht="31.5" x14ac:dyDescent="0.25">
      <c r="A463" s="23">
        <v>453</v>
      </c>
      <c r="B463" s="49" t="s">
        <v>3118</v>
      </c>
      <c r="C463" s="15" t="s">
        <v>38</v>
      </c>
      <c r="D463" s="9" t="s">
        <v>1160</v>
      </c>
      <c r="E463" s="14" t="s">
        <v>1127</v>
      </c>
      <c r="F463" s="13" t="s">
        <v>1114</v>
      </c>
      <c r="G463" s="16">
        <v>0.08</v>
      </c>
      <c r="H463" s="16">
        <v>0.08</v>
      </c>
      <c r="I463" s="16"/>
      <c r="J463" s="36">
        <f t="shared" si="7"/>
        <v>0.08</v>
      </c>
    </row>
    <row r="464" spans="1:10" ht="31.5" x14ac:dyDescent="0.25">
      <c r="A464" s="23">
        <v>454</v>
      </c>
      <c r="B464" s="49" t="s">
        <v>3119</v>
      </c>
      <c r="C464" s="15" t="s">
        <v>38</v>
      </c>
      <c r="D464" s="9" t="s">
        <v>1159</v>
      </c>
      <c r="E464" s="14" t="s">
        <v>1127</v>
      </c>
      <c r="F464" s="13" t="s">
        <v>1114</v>
      </c>
      <c r="G464" s="16">
        <v>0.25</v>
      </c>
      <c r="H464" s="16">
        <v>0.25</v>
      </c>
      <c r="I464" s="16"/>
      <c r="J464" s="36">
        <f t="shared" si="7"/>
        <v>0.25</v>
      </c>
    </row>
    <row r="465" spans="1:10" ht="31.5" x14ac:dyDescent="0.25">
      <c r="A465" s="23">
        <v>455</v>
      </c>
      <c r="B465" s="49" t="s">
        <v>3120</v>
      </c>
      <c r="C465" s="15" t="s">
        <v>38</v>
      </c>
      <c r="D465" s="9" t="s">
        <v>1158</v>
      </c>
      <c r="E465" s="14" t="s">
        <v>1127</v>
      </c>
      <c r="F465" s="13" t="s">
        <v>1114</v>
      </c>
      <c r="G465" s="16">
        <v>7.5999999999999998E-2</v>
      </c>
      <c r="H465" s="16">
        <v>7.5999999999999998E-2</v>
      </c>
      <c r="I465" s="16"/>
      <c r="J465" s="36">
        <f t="shared" si="7"/>
        <v>7.5999999999999998E-2</v>
      </c>
    </row>
    <row r="466" spans="1:10" ht="47.25" x14ac:dyDescent="0.25">
      <c r="A466" s="23">
        <v>456</v>
      </c>
      <c r="B466" s="49" t="s">
        <v>3121</v>
      </c>
      <c r="C466" s="15" t="s">
        <v>38</v>
      </c>
      <c r="D466" s="9" t="s">
        <v>1157</v>
      </c>
      <c r="E466" s="14" t="s">
        <v>1127</v>
      </c>
      <c r="F466" s="13" t="s">
        <v>1114</v>
      </c>
      <c r="G466" s="16">
        <v>0.34899999999999998</v>
      </c>
      <c r="H466" s="16">
        <v>0.34899999999999998</v>
      </c>
      <c r="I466" s="16"/>
      <c r="J466" s="36">
        <f t="shared" si="7"/>
        <v>0.34899999999999998</v>
      </c>
    </row>
    <row r="467" spans="1:10" ht="47.25" x14ac:dyDescent="0.25">
      <c r="A467" s="23">
        <v>457</v>
      </c>
      <c r="B467" s="49" t="s">
        <v>3122</v>
      </c>
      <c r="C467" s="15" t="s">
        <v>38</v>
      </c>
      <c r="D467" s="9" t="s">
        <v>1156</v>
      </c>
      <c r="E467" s="14" t="s">
        <v>1127</v>
      </c>
      <c r="F467" s="13" t="s">
        <v>1114</v>
      </c>
      <c r="G467" s="16">
        <v>0.80900000000000005</v>
      </c>
      <c r="H467" s="16">
        <v>0.80900000000000005</v>
      </c>
      <c r="I467" s="16"/>
      <c r="J467" s="36">
        <f t="shared" si="7"/>
        <v>0.80900000000000005</v>
      </c>
    </row>
    <row r="468" spans="1:10" ht="47.25" x14ac:dyDescent="0.25">
      <c r="A468" s="23">
        <v>458</v>
      </c>
      <c r="B468" s="49" t="s">
        <v>3123</v>
      </c>
      <c r="C468" s="15" t="s">
        <v>38</v>
      </c>
      <c r="D468" s="9" t="s">
        <v>1155</v>
      </c>
      <c r="E468" s="14" t="s">
        <v>1127</v>
      </c>
      <c r="F468" s="13" t="s">
        <v>1114</v>
      </c>
      <c r="G468" s="16">
        <v>0.35</v>
      </c>
      <c r="H468" s="16">
        <v>0.35</v>
      </c>
      <c r="I468" s="16"/>
      <c r="J468" s="36">
        <f t="shared" si="7"/>
        <v>0.35</v>
      </c>
    </row>
    <row r="469" spans="1:10" ht="47.25" x14ac:dyDescent="0.25">
      <c r="A469" s="23">
        <v>459</v>
      </c>
      <c r="B469" s="49" t="s">
        <v>3124</v>
      </c>
      <c r="C469" s="15" t="s">
        <v>38</v>
      </c>
      <c r="D469" s="9" t="s">
        <v>1154</v>
      </c>
      <c r="E469" s="14" t="s">
        <v>1127</v>
      </c>
      <c r="F469" s="13" t="s">
        <v>1114</v>
      </c>
      <c r="G469" s="16">
        <v>0.34599999999999997</v>
      </c>
      <c r="H469" s="16">
        <v>0.34599999999999997</v>
      </c>
      <c r="I469" s="16"/>
      <c r="J469" s="36">
        <f t="shared" si="7"/>
        <v>0.34599999999999997</v>
      </c>
    </row>
    <row r="470" spans="1:10" ht="31.5" x14ac:dyDescent="0.25">
      <c r="A470" s="23">
        <v>460</v>
      </c>
      <c r="B470" s="49" t="s">
        <v>3125</v>
      </c>
      <c r="C470" s="15" t="s">
        <v>38</v>
      </c>
      <c r="D470" s="9" t="s">
        <v>1153</v>
      </c>
      <c r="E470" s="14" t="s">
        <v>1127</v>
      </c>
      <c r="F470" s="13" t="s">
        <v>1114</v>
      </c>
      <c r="G470" s="16">
        <v>0.379</v>
      </c>
      <c r="H470" s="16">
        <v>0.379</v>
      </c>
      <c r="I470" s="16"/>
      <c r="J470" s="36">
        <f t="shared" si="7"/>
        <v>0.379</v>
      </c>
    </row>
    <row r="471" spans="1:10" ht="31.5" x14ac:dyDescent="0.25">
      <c r="A471" s="23">
        <v>461</v>
      </c>
      <c r="B471" s="49" t="s">
        <v>3126</v>
      </c>
      <c r="C471" s="15" t="s">
        <v>38</v>
      </c>
      <c r="D471" s="9" t="s">
        <v>1152</v>
      </c>
      <c r="E471" s="14" t="s">
        <v>1127</v>
      </c>
      <c r="F471" s="13" t="s">
        <v>1114</v>
      </c>
      <c r="G471" s="16">
        <v>0.46100000000000002</v>
      </c>
      <c r="H471" s="16">
        <v>0.46100000000000002</v>
      </c>
      <c r="I471" s="16"/>
      <c r="J471" s="36">
        <f t="shared" si="7"/>
        <v>0.46100000000000002</v>
      </c>
    </row>
    <row r="472" spans="1:10" ht="45.75" customHeight="1" x14ac:dyDescent="0.25">
      <c r="A472" s="23">
        <v>462</v>
      </c>
      <c r="B472" s="49" t="s">
        <v>3127</v>
      </c>
      <c r="C472" s="15" t="s">
        <v>38</v>
      </c>
      <c r="D472" s="9" t="s">
        <v>1151</v>
      </c>
      <c r="E472" s="14" t="s">
        <v>1127</v>
      </c>
      <c r="F472" s="13" t="s">
        <v>1114</v>
      </c>
      <c r="G472" s="16">
        <v>0.112</v>
      </c>
      <c r="H472" s="16">
        <v>0.112</v>
      </c>
      <c r="I472" s="16">
        <v>5.2999999999999999E-2</v>
      </c>
      <c r="J472" s="36">
        <f t="shared" si="7"/>
        <v>0.16500000000000001</v>
      </c>
    </row>
    <row r="473" spans="1:10" ht="31.5" x14ac:dyDescent="0.25">
      <c r="A473" s="23">
        <v>463</v>
      </c>
      <c r="B473" s="49" t="s">
        <v>3128</v>
      </c>
      <c r="C473" s="15" t="s">
        <v>38</v>
      </c>
      <c r="D473" s="9" t="s">
        <v>1150</v>
      </c>
      <c r="E473" s="14" t="s">
        <v>1127</v>
      </c>
      <c r="F473" s="13" t="s">
        <v>1114</v>
      </c>
      <c r="G473" s="16">
        <v>0.57299999999999995</v>
      </c>
      <c r="H473" s="16">
        <v>0.57299999999999995</v>
      </c>
      <c r="I473" s="16"/>
      <c r="J473" s="36">
        <f t="shared" si="7"/>
        <v>0.57299999999999995</v>
      </c>
    </row>
    <row r="474" spans="1:10" ht="31.5" x14ac:dyDescent="0.25">
      <c r="A474" s="23">
        <v>464</v>
      </c>
      <c r="B474" s="49" t="s">
        <v>3129</v>
      </c>
      <c r="C474" s="15" t="s">
        <v>38</v>
      </c>
      <c r="D474" s="9" t="s">
        <v>1149</v>
      </c>
      <c r="E474" s="14" t="s">
        <v>1127</v>
      </c>
      <c r="F474" s="13" t="s">
        <v>1114</v>
      </c>
      <c r="G474" s="16"/>
      <c r="H474" s="16"/>
      <c r="I474" s="16">
        <v>0.34899999999999998</v>
      </c>
      <c r="J474" s="36">
        <f t="shared" si="7"/>
        <v>0.34899999999999998</v>
      </c>
    </row>
    <row r="475" spans="1:10" ht="47.25" x14ac:dyDescent="0.25">
      <c r="A475" s="23">
        <v>465</v>
      </c>
      <c r="B475" s="49" t="s">
        <v>3130</v>
      </c>
      <c r="C475" s="15" t="s">
        <v>38</v>
      </c>
      <c r="D475" s="9" t="s">
        <v>1148</v>
      </c>
      <c r="E475" s="14" t="s">
        <v>1127</v>
      </c>
      <c r="F475" s="13" t="s">
        <v>1114</v>
      </c>
      <c r="G475" s="16">
        <v>0.17799999999999999</v>
      </c>
      <c r="H475" s="16">
        <v>0.17799999999999999</v>
      </c>
      <c r="I475" s="16"/>
      <c r="J475" s="36">
        <f t="shared" si="7"/>
        <v>0.17799999999999999</v>
      </c>
    </row>
    <row r="476" spans="1:10" ht="31.5" x14ac:dyDescent="0.25">
      <c r="A476" s="23">
        <v>466</v>
      </c>
      <c r="B476" s="49" t="s">
        <v>3131</v>
      </c>
      <c r="C476" s="15" t="s">
        <v>38</v>
      </c>
      <c r="D476" s="9" t="s">
        <v>1147</v>
      </c>
      <c r="E476" s="14" t="s">
        <v>1127</v>
      </c>
      <c r="F476" s="13" t="s">
        <v>1114</v>
      </c>
      <c r="G476" s="16">
        <v>0.56000000000000005</v>
      </c>
      <c r="H476" s="16">
        <v>0.56000000000000005</v>
      </c>
      <c r="I476" s="16"/>
      <c r="J476" s="36">
        <f t="shared" si="7"/>
        <v>0.56000000000000005</v>
      </c>
    </row>
    <row r="477" spans="1:10" ht="47.25" x14ac:dyDescent="0.25">
      <c r="A477" s="23">
        <v>467</v>
      </c>
      <c r="B477" s="49" t="s">
        <v>3132</v>
      </c>
      <c r="C477" s="15" t="s">
        <v>38</v>
      </c>
      <c r="D477" s="9" t="s">
        <v>1146</v>
      </c>
      <c r="E477" s="14" t="s">
        <v>1127</v>
      </c>
      <c r="F477" s="13" t="s">
        <v>1114</v>
      </c>
      <c r="G477" s="16">
        <v>0.86699999999999999</v>
      </c>
      <c r="H477" s="16">
        <v>0.86699999999999999</v>
      </c>
      <c r="I477" s="16"/>
      <c r="J477" s="36">
        <f t="shared" si="7"/>
        <v>0.86699999999999999</v>
      </c>
    </row>
    <row r="478" spans="1:10" ht="31.5" x14ac:dyDescent="0.25">
      <c r="A478" s="23">
        <v>468</v>
      </c>
      <c r="B478" s="49" t="s">
        <v>3133</v>
      </c>
      <c r="C478" s="15" t="s">
        <v>38</v>
      </c>
      <c r="D478" s="9" t="s">
        <v>1145</v>
      </c>
      <c r="E478" s="14" t="s">
        <v>1127</v>
      </c>
      <c r="F478" s="13" t="s">
        <v>1114</v>
      </c>
      <c r="G478" s="16">
        <v>3.9E-2</v>
      </c>
      <c r="H478" s="16">
        <v>3.9E-2</v>
      </c>
      <c r="I478" s="16">
        <v>8.7999999999999995E-2</v>
      </c>
      <c r="J478" s="36">
        <f t="shared" si="7"/>
        <v>0.127</v>
      </c>
    </row>
    <row r="479" spans="1:10" ht="31.5" x14ac:dyDescent="0.25">
      <c r="A479" s="23">
        <v>469</v>
      </c>
      <c r="B479" s="49" t="s">
        <v>3134</v>
      </c>
      <c r="C479" s="15" t="s">
        <v>38</v>
      </c>
      <c r="D479" s="9" t="s">
        <v>1144</v>
      </c>
      <c r="E479" s="14" t="s">
        <v>1127</v>
      </c>
      <c r="F479" s="13" t="s">
        <v>1114</v>
      </c>
      <c r="G479" s="16">
        <v>0.378</v>
      </c>
      <c r="H479" s="16">
        <v>0.378</v>
      </c>
      <c r="I479" s="16"/>
      <c r="J479" s="36">
        <f t="shared" si="7"/>
        <v>0.378</v>
      </c>
    </row>
    <row r="480" spans="1:10" ht="47.25" x14ac:dyDescent="0.25">
      <c r="A480" s="23">
        <v>470</v>
      </c>
      <c r="B480" s="49" t="s">
        <v>3135</v>
      </c>
      <c r="C480" s="15" t="s">
        <v>38</v>
      </c>
      <c r="D480" s="9" t="s">
        <v>1143</v>
      </c>
      <c r="E480" s="14" t="s">
        <v>1127</v>
      </c>
      <c r="F480" s="13" t="s">
        <v>1114</v>
      </c>
      <c r="G480" s="16">
        <v>0.215</v>
      </c>
      <c r="H480" s="16">
        <v>0.215</v>
      </c>
      <c r="I480" s="16"/>
      <c r="J480" s="36">
        <f t="shared" si="7"/>
        <v>0.215</v>
      </c>
    </row>
    <row r="481" spans="1:10" ht="47.25" x14ac:dyDescent="0.25">
      <c r="A481" s="23">
        <v>471</v>
      </c>
      <c r="B481" s="49" t="s">
        <v>3136</v>
      </c>
      <c r="C481" s="15" t="s">
        <v>38</v>
      </c>
      <c r="D481" s="9" t="s">
        <v>1142</v>
      </c>
      <c r="E481" s="14" t="s">
        <v>1127</v>
      </c>
      <c r="F481" s="13" t="s">
        <v>1114</v>
      </c>
      <c r="G481" s="16">
        <v>0.45100000000000001</v>
      </c>
      <c r="H481" s="16">
        <v>0.45100000000000001</v>
      </c>
      <c r="I481" s="16"/>
      <c r="J481" s="36">
        <f t="shared" si="7"/>
        <v>0.45100000000000001</v>
      </c>
    </row>
    <row r="482" spans="1:10" ht="47.25" x14ac:dyDescent="0.25">
      <c r="A482" s="23">
        <v>472</v>
      </c>
      <c r="B482" s="49" t="s">
        <v>3137</v>
      </c>
      <c r="C482" s="15" t="s">
        <v>38</v>
      </c>
      <c r="D482" s="9" t="s">
        <v>1141</v>
      </c>
      <c r="E482" s="14" t="s">
        <v>1127</v>
      </c>
      <c r="F482" s="13" t="s">
        <v>1114</v>
      </c>
      <c r="G482" s="16">
        <v>2.2250000000000001</v>
      </c>
      <c r="H482" s="16">
        <v>2.2250000000000001</v>
      </c>
      <c r="I482" s="16">
        <v>0.159</v>
      </c>
      <c r="J482" s="36">
        <f t="shared" si="7"/>
        <v>2.3839999999999999</v>
      </c>
    </row>
    <row r="483" spans="1:10" ht="47.25" x14ac:dyDescent="0.25">
      <c r="A483" s="23">
        <v>473</v>
      </c>
      <c r="B483" s="49" t="s">
        <v>3138</v>
      </c>
      <c r="C483" s="15" t="s">
        <v>38</v>
      </c>
      <c r="D483" s="9" t="s">
        <v>1140</v>
      </c>
      <c r="E483" s="14" t="s">
        <v>1127</v>
      </c>
      <c r="F483" s="13" t="s">
        <v>1114</v>
      </c>
      <c r="G483" s="16">
        <v>1.1279999999999999</v>
      </c>
      <c r="H483" s="16">
        <v>1.1279999999999999</v>
      </c>
      <c r="I483" s="16"/>
      <c r="J483" s="36">
        <f t="shared" si="7"/>
        <v>1.1279999999999999</v>
      </c>
    </row>
    <row r="484" spans="1:10" ht="47.25" x14ac:dyDescent="0.25">
      <c r="A484" s="23">
        <v>474</v>
      </c>
      <c r="B484" s="49" t="s">
        <v>3139</v>
      </c>
      <c r="C484" s="15" t="s">
        <v>38</v>
      </c>
      <c r="D484" s="9" t="s">
        <v>1139</v>
      </c>
      <c r="E484" s="14" t="s">
        <v>1127</v>
      </c>
      <c r="F484" s="13" t="s">
        <v>1114</v>
      </c>
      <c r="G484" s="16">
        <v>0.38400000000000001</v>
      </c>
      <c r="H484" s="16">
        <v>0.38400000000000001</v>
      </c>
      <c r="I484" s="16">
        <v>0.152</v>
      </c>
      <c r="J484" s="36">
        <f t="shared" si="7"/>
        <v>0.53600000000000003</v>
      </c>
    </row>
    <row r="485" spans="1:10" ht="31.5" x14ac:dyDescent="0.25">
      <c r="A485" s="23">
        <v>475</v>
      </c>
      <c r="B485" s="49" t="s">
        <v>3140</v>
      </c>
      <c r="C485" s="15" t="s">
        <v>38</v>
      </c>
      <c r="D485" s="9" t="s">
        <v>1138</v>
      </c>
      <c r="E485" s="14" t="s">
        <v>1127</v>
      </c>
      <c r="F485" s="13" t="s">
        <v>1114</v>
      </c>
      <c r="G485" s="16">
        <v>0.42499999999999999</v>
      </c>
      <c r="H485" s="16">
        <v>0.42499999999999999</v>
      </c>
      <c r="I485" s="16"/>
      <c r="J485" s="36">
        <f t="shared" si="7"/>
        <v>0.42499999999999999</v>
      </c>
    </row>
    <row r="486" spans="1:10" ht="31.5" x14ac:dyDescent="0.25">
      <c r="A486" s="23">
        <v>476</v>
      </c>
      <c r="B486" s="49" t="s">
        <v>3141</v>
      </c>
      <c r="C486" s="15" t="s">
        <v>38</v>
      </c>
      <c r="D486" s="9" t="s">
        <v>1137</v>
      </c>
      <c r="E486" s="14" t="s">
        <v>1127</v>
      </c>
      <c r="F486" s="13" t="s">
        <v>1114</v>
      </c>
      <c r="G486" s="16">
        <v>0.14099999999999999</v>
      </c>
      <c r="H486" s="16">
        <v>0.14099999999999999</v>
      </c>
      <c r="I486" s="16"/>
      <c r="J486" s="36">
        <f t="shared" si="7"/>
        <v>0.14099999999999999</v>
      </c>
    </row>
    <row r="487" spans="1:10" ht="31.5" x14ac:dyDescent="0.25">
      <c r="A487" s="23">
        <v>477</v>
      </c>
      <c r="B487" s="49" t="s">
        <v>3142</v>
      </c>
      <c r="C487" s="15" t="s">
        <v>38</v>
      </c>
      <c r="D487" s="9" t="s">
        <v>1136</v>
      </c>
      <c r="E487" s="14" t="s">
        <v>1127</v>
      </c>
      <c r="F487" s="13" t="s">
        <v>1114</v>
      </c>
      <c r="G487" s="16">
        <v>0.51700000000000002</v>
      </c>
      <c r="H487" s="16">
        <v>0.51700000000000002</v>
      </c>
      <c r="I487" s="16"/>
      <c r="J487" s="36">
        <f t="shared" si="7"/>
        <v>0.51700000000000002</v>
      </c>
    </row>
    <row r="488" spans="1:10" ht="31.5" x14ac:dyDescent="0.25">
      <c r="A488" s="23">
        <v>478</v>
      </c>
      <c r="B488" s="49" t="s">
        <v>3143</v>
      </c>
      <c r="C488" s="15" t="s">
        <v>38</v>
      </c>
      <c r="D488" s="9" t="s">
        <v>1135</v>
      </c>
      <c r="E488" s="14" t="s">
        <v>1127</v>
      </c>
      <c r="F488" s="13" t="s">
        <v>1114</v>
      </c>
      <c r="G488" s="16">
        <v>0.17599999999999999</v>
      </c>
      <c r="H488" s="16">
        <v>0.17599999999999999</v>
      </c>
      <c r="I488" s="16"/>
      <c r="J488" s="36">
        <f t="shared" si="7"/>
        <v>0.17599999999999999</v>
      </c>
    </row>
    <row r="489" spans="1:10" ht="31.5" x14ac:dyDescent="0.25">
      <c r="A489" s="23">
        <v>479</v>
      </c>
      <c r="B489" s="49" t="s">
        <v>3144</v>
      </c>
      <c r="C489" s="15" t="s">
        <v>38</v>
      </c>
      <c r="D489" s="9" t="s">
        <v>1134</v>
      </c>
      <c r="E489" s="14" t="s">
        <v>1127</v>
      </c>
      <c r="F489" s="13" t="s">
        <v>1114</v>
      </c>
      <c r="G489" s="16"/>
      <c r="H489" s="16"/>
      <c r="I489" s="16">
        <v>0.34599999999999997</v>
      </c>
      <c r="J489" s="36">
        <f t="shared" si="7"/>
        <v>0.34599999999999997</v>
      </c>
    </row>
    <row r="490" spans="1:10" ht="31.5" x14ac:dyDescent="0.25">
      <c r="A490" s="23">
        <v>480</v>
      </c>
      <c r="B490" s="49" t="s">
        <v>3145</v>
      </c>
      <c r="C490" s="15" t="s">
        <v>38</v>
      </c>
      <c r="D490" s="9" t="s">
        <v>1133</v>
      </c>
      <c r="E490" s="14" t="s">
        <v>1127</v>
      </c>
      <c r="F490" s="13" t="s">
        <v>1114</v>
      </c>
      <c r="G490" s="16"/>
      <c r="H490" s="16"/>
      <c r="I490" s="16">
        <v>0.33700000000000002</v>
      </c>
      <c r="J490" s="36">
        <f t="shared" si="7"/>
        <v>0.33700000000000002</v>
      </c>
    </row>
    <row r="491" spans="1:10" ht="31.5" x14ac:dyDescent="0.25">
      <c r="A491" s="23">
        <v>481</v>
      </c>
      <c r="B491" s="49" t="s">
        <v>3146</v>
      </c>
      <c r="C491" s="15" t="s">
        <v>38</v>
      </c>
      <c r="D491" s="9" t="s">
        <v>1132</v>
      </c>
      <c r="E491" s="14" t="s">
        <v>1127</v>
      </c>
      <c r="F491" s="13" t="s">
        <v>1114</v>
      </c>
      <c r="G491" s="16">
        <v>0.44800000000000001</v>
      </c>
      <c r="H491" s="16">
        <v>0.44800000000000001</v>
      </c>
      <c r="I491" s="16"/>
      <c r="J491" s="36">
        <f t="shared" si="7"/>
        <v>0.44800000000000001</v>
      </c>
    </row>
    <row r="492" spans="1:10" ht="31.5" x14ac:dyDescent="0.25">
      <c r="A492" s="23">
        <v>482</v>
      </c>
      <c r="B492" s="49" t="s">
        <v>3147</v>
      </c>
      <c r="C492" s="15" t="s">
        <v>39</v>
      </c>
      <c r="D492" s="9" t="s">
        <v>1131</v>
      </c>
      <c r="E492" s="14" t="s">
        <v>1127</v>
      </c>
      <c r="F492" s="13" t="s">
        <v>1114</v>
      </c>
      <c r="G492" s="16">
        <v>0.504</v>
      </c>
      <c r="H492" s="16">
        <v>0.504</v>
      </c>
      <c r="I492" s="16"/>
      <c r="J492" s="36">
        <f t="shared" si="7"/>
        <v>0.504</v>
      </c>
    </row>
    <row r="493" spans="1:10" ht="36" customHeight="1" x14ac:dyDescent="0.25">
      <c r="A493" s="23">
        <v>483</v>
      </c>
      <c r="B493" s="49" t="s">
        <v>3148</v>
      </c>
      <c r="C493" s="15" t="s">
        <v>38</v>
      </c>
      <c r="D493" s="9" t="s">
        <v>1130</v>
      </c>
      <c r="E493" s="14" t="s">
        <v>1127</v>
      </c>
      <c r="F493" s="13" t="s">
        <v>1114</v>
      </c>
      <c r="G493" s="16"/>
      <c r="H493" s="16"/>
      <c r="I493" s="16">
        <v>1.3979999999999999</v>
      </c>
      <c r="J493" s="36">
        <f t="shared" si="7"/>
        <v>1.3979999999999999</v>
      </c>
    </row>
    <row r="494" spans="1:10" ht="31.5" x14ac:dyDescent="0.25">
      <c r="A494" s="23">
        <v>484</v>
      </c>
      <c r="B494" s="49" t="s">
        <v>3149</v>
      </c>
      <c r="C494" s="15" t="s">
        <v>38</v>
      </c>
      <c r="D494" s="9" t="s">
        <v>1129</v>
      </c>
      <c r="E494" s="14" t="s">
        <v>1127</v>
      </c>
      <c r="F494" s="13" t="s">
        <v>1114</v>
      </c>
      <c r="G494" s="16">
        <v>0.16900000000000001</v>
      </c>
      <c r="H494" s="16">
        <v>0.16900000000000001</v>
      </c>
      <c r="I494" s="16"/>
      <c r="J494" s="36">
        <f t="shared" si="7"/>
        <v>0.16900000000000001</v>
      </c>
    </row>
    <row r="495" spans="1:10" ht="33" customHeight="1" x14ac:dyDescent="0.25">
      <c r="A495" s="23">
        <v>485</v>
      </c>
      <c r="B495" s="49" t="s">
        <v>3150</v>
      </c>
      <c r="C495" s="15" t="s">
        <v>39</v>
      </c>
      <c r="D495" s="9" t="s">
        <v>1128</v>
      </c>
      <c r="E495" s="14" t="s">
        <v>1127</v>
      </c>
      <c r="F495" s="13" t="s">
        <v>1114</v>
      </c>
      <c r="G495" s="16"/>
      <c r="H495" s="16"/>
      <c r="I495" s="16">
        <v>0.73</v>
      </c>
      <c r="J495" s="36">
        <f t="shared" si="7"/>
        <v>0.73</v>
      </c>
    </row>
    <row r="496" spans="1:10" ht="29.25" customHeight="1" x14ac:dyDescent="0.25">
      <c r="A496" s="23">
        <v>486</v>
      </c>
      <c r="B496" s="49" t="s">
        <v>3151</v>
      </c>
      <c r="C496" s="15" t="s">
        <v>39</v>
      </c>
      <c r="D496" s="9" t="s">
        <v>1126</v>
      </c>
      <c r="E496" s="14" t="s">
        <v>1115</v>
      </c>
      <c r="F496" s="13" t="s">
        <v>1114</v>
      </c>
      <c r="G496" s="16"/>
      <c r="H496" s="16"/>
      <c r="I496" s="16">
        <v>0.73</v>
      </c>
      <c r="J496" s="36">
        <f t="shared" si="7"/>
        <v>0.73</v>
      </c>
    </row>
    <row r="497" spans="1:10" ht="29.25" customHeight="1" x14ac:dyDescent="0.25">
      <c r="A497" s="23">
        <v>487</v>
      </c>
      <c r="B497" s="49" t="s">
        <v>3152</v>
      </c>
      <c r="C497" s="15" t="s">
        <v>38</v>
      </c>
      <c r="D497" s="9" t="s">
        <v>1125</v>
      </c>
      <c r="E497" s="14" t="s">
        <v>1115</v>
      </c>
      <c r="F497" s="13" t="s">
        <v>1114</v>
      </c>
      <c r="G497" s="16">
        <v>0.23499999999999999</v>
      </c>
      <c r="H497" s="16">
        <v>0.23499999999999999</v>
      </c>
      <c r="I497" s="16"/>
      <c r="J497" s="36">
        <f t="shared" si="7"/>
        <v>0.23499999999999999</v>
      </c>
    </row>
    <row r="498" spans="1:10" ht="29.25" customHeight="1" x14ac:dyDescent="0.25">
      <c r="A498" s="23">
        <v>488</v>
      </c>
      <c r="B498" s="49" t="s">
        <v>3153</v>
      </c>
      <c r="C498" s="15" t="s">
        <v>39</v>
      </c>
      <c r="D498" s="9" t="s">
        <v>1124</v>
      </c>
      <c r="E498" s="14" t="s">
        <v>1115</v>
      </c>
      <c r="F498" s="13" t="s">
        <v>1114</v>
      </c>
      <c r="G498" s="16"/>
      <c r="H498" s="16"/>
      <c r="I498" s="16">
        <v>0.73</v>
      </c>
      <c r="J498" s="36">
        <f t="shared" si="7"/>
        <v>0.73</v>
      </c>
    </row>
    <row r="499" spans="1:10" ht="29.25" customHeight="1" x14ac:dyDescent="0.25">
      <c r="A499" s="23">
        <v>489</v>
      </c>
      <c r="B499" s="49" t="s">
        <v>3154</v>
      </c>
      <c r="C499" s="15" t="s">
        <v>39</v>
      </c>
      <c r="D499" s="9" t="s">
        <v>1123</v>
      </c>
      <c r="E499" s="14" t="s">
        <v>1115</v>
      </c>
      <c r="F499" s="13" t="s">
        <v>1114</v>
      </c>
      <c r="G499" s="16"/>
      <c r="H499" s="16"/>
      <c r="I499" s="16">
        <v>0.73</v>
      </c>
      <c r="J499" s="36">
        <f t="shared" si="7"/>
        <v>0.73</v>
      </c>
    </row>
    <row r="500" spans="1:10" ht="29.25" customHeight="1" x14ac:dyDescent="0.25">
      <c r="A500" s="23">
        <v>490</v>
      </c>
      <c r="B500" s="49" t="s">
        <v>3155</v>
      </c>
      <c r="C500" s="15" t="s">
        <v>39</v>
      </c>
      <c r="D500" s="9" t="s">
        <v>1122</v>
      </c>
      <c r="E500" s="14" t="s">
        <v>1115</v>
      </c>
      <c r="F500" s="13" t="s">
        <v>1114</v>
      </c>
      <c r="G500" s="16"/>
      <c r="H500" s="16"/>
      <c r="I500" s="16">
        <v>0.73</v>
      </c>
      <c r="J500" s="36">
        <f t="shared" si="7"/>
        <v>0.73</v>
      </c>
    </row>
    <row r="501" spans="1:10" ht="29.25" customHeight="1" x14ac:dyDescent="0.25">
      <c r="A501" s="23">
        <v>491</v>
      </c>
      <c r="B501" s="49" t="s">
        <v>3156</v>
      </c>
      <c r="C501" s="15" t="s">
        <v>38</v>
      </c>
      <c r="D501" s="9" t="s">
        <v>1121</v>
      </c>
      <c r="E501" s="14" t="s">
        <v>1115</v>
      </c>
      <c r="F501" s="13" t="s">
        <v>1114</v>
      </c>
      <c r="G501" s="16"/>
      <c r="H501" s="16"/>
      <c r="I501" s="16">
        <v>0.92</v>
      </c>
      <c r="J501" s="36">
        <f t="shared" si="7"/>
        <v>0.92</v>
      </c>
    </row>
    <row r="502" spans="1:10" ht="29.25" customHeight="1" x14ac:dyDescent="0.25">
      <c r="A502" s="23">
        <v>492</v>
      </c>
      <c r="B502" s="49" t="s">
        <v>3157</v>
      </c>
      <c r="C502" s="15" t="s">
        <v>38</v>
      </c>
      <c r="D502" s="9" t="s">
        <v>1120</v>
      </c>
      <c r="E502" s="14" t="s">
        <v>1115</v>
      </c>
      <c r="F502" s="13" t="s">
        <v>1114</v>
      </c>
      <c r="G502" s="16"/>
      <c r="H502" s="16"/>
      <c r="I502" s="16">
        <v>0.60299999999999998</v>
      </c>
      <c r="J502" s="36">
        <f t="shared" si="7"/>
        <v>0.60299999999999998</v>
      </c>
    </row>
    <row r="503" spans="1:10" ht="29.25" customHeight="1" x14ac:dyDescent="0.25">
      <c r="A503" s="23">
        <v>493</v>
      </c>
      <c r="B503" s="49" t="s">
        <v>3158</v>
      </c>
      <c r="C503" s="15" t="s">
        <v>39</v>
      </c>
      <c r="D503" s="9" t="s">
        <v>1119</v>
      </c>
      <c r="E503" s="14" t="s">
        <v>1115</v>
      </c>
      <c r="F503" s="13" t="s">
        <v>1114</v>
      </c>
      <c r="G503" s="16"/>
      <c r="H503" s="16"/>
      <c r="I503" s="16">
        <v>0.14799999999999999</v>
      </c>
      <c r="J503" s="36">
        <f t="shared" si="7"/>
        <v>0.14799999999999999</v>
      </c>
    </row>
    <row r="504" spans="1:10" ht="29.25" customHeight="1" x14ac:dyDescent="0.25">
      <c r="A504" s="23">
        <v>494</v>
      </c>
      <c r="B504" s="49" t="s">
        <v>3159</v>
      </c>
      <c r="C504" s="15" t="s">
        <v>38</v>
      </c>
      <c r="D504" s="9" t="s">
        <v>1118</v>
      </c>
      <c r="E504" s="14" t="s">
        <v>1115</v>
      </c>
      <c r="F504" s="13" t="s">
        <v>1114</v>
      </c>
      <c r="G504" s="16"/>
      <c r="H504" s="16"/>
      <c r="I504" s="16">
        <v>0.45700000000000002</v>
      </c>
      <c r="J504" s="36">
        <f t="shared" si="7"/>
        <v>0.45700000000000002</v>
      </c>
    </row>
    <row r="505" spans="1:10" ht="29.25" customHeight="1" x14ac:dyDescent="0.25">
      <c r="A505" s="23">
        <v>495</v>
      </c>
      <c r="B505" s="49" t="s">
        <v>3160</v>
      </c>
      <c r="C505" s="15" t="s">
        <v>38</v>
      </c>
      <c r="D505" s="9" t="s">
        <v>1117</v>
      </c>
      <c r="E505" s="14" t="s">
        <v>1115</v>
      </c>
      <c r="F505" s="13" t="s">
        <v>1114</v>
      </c>
      <c r="G505" s="16"/>
      <c r="H505" s="16"/>
      <c r="I505" s="16">
        <v>0.82499999999999996</v>
      </c>
      <c r="J505" s="36">
        <f t="shared" si="7"/>
        <v>0.82499999999999996</v>
      </c>
    </row>
    <row r="506" spans="1:10" ht="29.25" customHeight="1" x14ac:dyDescent="0.25">
      <c r="A506" s="140">
        <v>496</v>
      </c>
      <c r="B506" s="49" t="s">
        <v>3161</v>
      </c>
      <c r="C506" s="15" t="s">
        <v>38</v>
      </c>
      <c r="D506" s="9" t="s">
        <v>1116</v>
      </c>
      <c r="E506" s="14" t="s">
        <v>1115</v>
      </c>
      <c r="F506" s="13" t="s">
        <v>1114</v>
      </c>
      <c r="G506" s="16">
        <v>0.20499999999999999</v>
      </c>
      <c r="H506" s="16">
        <v>0.20499999999999999</v>
      </c>
      <c r="I506" s="16">
        <v>1.2330000000000001</v>
      </c>
      <c r="J506" s="36">
        <f t="shared" si="7"/>
        <v>1.4380000000000002</v>
      </c>
    </row>
    <row r="507" spans="1:10" ht="31.5" x14ac:dyDescent="0.25">
      <c r="A507" s="161">
        <v>497</v>
      </c>
      <c r="B507" s="49" t="s">
        <v>3304</v>
      </c>
      <c r="C507" s="15" t="s">
        <v>38</v>
      </c>
      <c r="D507" s="9" t="s">
        <v>3300</v>
      </c>
      <c r="E507" s="14" t="s">
        <v>1115</v>
      </c>
      <c r="F507" s="13" t="s">
        <v>1114</v>
      </c>
      <c r="G507" s="16"/>
      <c r="H507" s="16"/>
      <c r="I507" s="16">
        <v>0.311</v>
      </c>
      <c r="J507" s="36">
        <f t="shared" si="7"/>
        <v>0.311</v>
      </c>
    </row>
    <row r="508" spans="1:10" ht="31.5" x14ac:dyDescent="0.25">
      <c r="A508" s="161">
        <v>498</v>
      </c>
      <c r="B508" s="49" t="s">
        <v>3305</v>
      </c>
      <c r="C508" s="15" t="s">
        <v>38</v>
      </c>
      <c r="D508" s="9" t="s">
        <v>3301</v>
      </c>
      <c r="E508" s="14" t="s">
        <v>1115</v>
      </c>
      <c r="F508" s="13" t="s">
        <v>1114</v>
      </c>
      <c r="G508" s="16">
        <v>0.223</v>
      </c>
      <c r="H508" s="16">
        <v>0.223</v>
      </c>
      <c r="I508" s="16"/>
      <c r="J508" s="36">
        <f t="shared" si="7"/>
        <v>0.223</v>
      </c>
    </row>
    <row r="509" spans="1:10" ht="31.5" x14ac:dyDescent="0.25">
      <c r="A509" s="161">
        <v>499</v>
      </c>
      <c r="B509" s="49" t="s">
        <v>3306</v>
      </c>
      <c r="C509" s="15" t="s">
        <v>38</v>
      </c>
      <c r="D509" s="9" t="s">
        <v>3302</v>
      </c>
      <c r="E509" s="14" t="s">
        <v>1115</v>
      </c>
      <c r="F509" s="13" t="s">
        <v>1114</v>
      </c>
      <c r="G509" s="16">
        <v>9.7000000000000003E-2</v>
      </c>
      <c r="H509" s="16">
        <v>9.7000000000000003E-2</v>
      </c>
      <c r="I509" s="16"/>
      <c r="J509" s="36">
        <f t="shared" si="7"/>
        <v>9.7000000000000003E-2</v>
      </c>
    </row>
    <row r="510" spans="1:10" ht="31.5" x14ac:dyDescent="0.25">
      <c r="A510" s="161">
        <v>500</v>
      </c>
      <c r="B510" s="49" t="s">
        <v>3307</v>
      </c>
      <c r="C510" s="15" t="s">
        <v>38</v>
      </c>
      <c r="D510" s="9" t="s">
        <v>3303</v>
      </c>
      <c r="E510" s="14" t="s">
        <v>1115</v>
      </c>
      <c r="F510" s="13" t="s">
        <v>1114</v>
      </c>
      <c r="G510" s="16">
        <v>0.32</v>
      </c>
      <c r="H510" s="16">
        <v>0.32</v>
      </c>
      <c r="I510" s="16"/>
      <c r="J510" s="36">
        <f t="shared" si="7"/>
        <v>0.32</v>
      </c>
    </row>
    <row r="511" spans="1:10" x14ac:dyDescent="0.25">
      <c r="A511" s="46"/>
    </row>
  </sheetData>
  <sheetProtection insertRows="0" deleteRows="0" sort="0"/>
  <mergeCells count="9">
    <mergeCell ref="C1:I1"/>
    <mergeCell ref="F7:F8"/>
    <mergeCell ref="J7:J8"/>
    <mergeCell ref="G7:I7"/>
    <mergeCell ref="A7:A8"/>
    <mergeCell ref="B7:B8"/>
    <mergeCell ref="C7:C8"/>
    <mergeCell ref="D7:D8"/>
    <mergeCell ref="E7:E8"/>
  </mergeCells>
  <conditionalFormatting sqref="J11:J510">
    <cfRule type="expression" dxfId="1" priority="1">
      <formula>$G11+$I11&lt;&gt;$J11</formula>
    </cfRule>
  </conditionalFormatting>
  <conditionalFormatting sqref="G10:J10">
    <cfRule type="expression" dxfId="0" priority="2">
      <formula>G$10&lt;&gt;SUM(G$11:G$904)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3" sqref="K13:K14"/>
    </sheetView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topLeftCell="A10" zoomScale="110" zoomScaleNormal="110" workbookViewId="0">
      <selection activeCell="A6" sqref="A6:R6"/>
    </sheetView>
  </sheetViews>
  <sheetFormatPr defaultRowHeight="15" x14ac:dyDescent="0.25"/>
  <sheetData>
    <row r="1" spans="1:18" ht="30.75" customHeight="1" thickBot="1" x14ac:dyDescent="0.3">
      <c r="A1" s="194" t="s">
        <v>7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3"/>
    </row>
    <row r="2" spans="1:18" ht="115.5" customHeight="1" thickBot="1" x14ac:dyDescent="0.3">
      <c r="A2" s="191" t="s">
        <v>22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3"/>
    </row>
    <row r="3" spans="1:18" ht="60.75" customHeight="1" thickBot="1" x14ac:dyDescent="0.3">
      <c r="A3" s="191" t="s">
        <v>23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3"/>
    </row>
    <row r="4" spans="1:18" ht="64.5" customHeight="1" thickBot="1" x14ac:dyDescent="0.3">
      <c r="A4" s="191" t="s">
        <v>8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3"/>
    </row>
    <row r="5" spans="1:18" ht="60" customHeight="1" thickBot="1" x14ac:dyDescent="0.3">
      <c r="A5" s="191" t="s">
        <v>9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3"/>
    </row>
    <row r="6" spans="1:18" ht="57.75" customHeight="1" thickBot="1" x14ac:dyDescent="0.3">
      <c r="A6" s="198" t="s">
        <v>18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3"/>
    </row>
    <row r="7" spans="1:18" ht="39.75" customHeight="1" thickBot="1" x14ac:dyDescent="0.3">
      <c r="A7" s="191" t="s">
        <v>17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3"/>
    </row>
    <row r="8" spans="1:18" ht="30.75" customHeight="1" thickBot="1" x14ac:dyDescent="0.3">
      <c r="A8" s="191" t="s">
        <v>10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3"/>
    </row>
    <row r="9" spans="1:18" ht="13.5" customHeight="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ht="29.25" customHeight="1" thickBot="1" x14ac:dyDescent="0.3">
      <c r="A10" s="194" t="s">
        <v>11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3"/>
    </row>
    <row r="11" spans="1:18" ht="24" customHeight="1" thickBot="1" x14ac:dyDescent="0.3">
      <c r="A11" s="195" t="s">
        <v>12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7"/>
    </row>
    <row r="12" spans="1:18" ht="26.25" customHeight="1" x14ac:dyDescent="0.25">
      <c r="A12" s="199" t="s">
        <v>19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1"/>
    </row>
    <row r="13" spans="1:18" ht="22.5" customHeight="1" x14ac:dyDescent="0.25">
      <c r="A13" s="1"/>
      <c r="B13" s="202" t="s">
        <v>20</v>
      </c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3"/>
    </row>
    <row r="14" spans="1:18" ht="30.75" customHeight="1" thickBot="1" x14ac:dyDescent="0.3">
      <c r="A14" s="2"/>
      <c r="B14" s="189" t="s">
        <v>21</v>
      </c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90"/>
    </row>
  </sheetData>
  <mergeCells count="13">
    <mergeCell ref="A1:R1"/>
    <mergeCell ref="A6:R6"/>
    <mergeCell ref="A12:R12"/>
    <mergeCell ref="B13:R13"/>
    <mergeCell ref="A2:R2"/>
    <mergeCell ref="A3:R3"/>
    <mergeCell ref="B14:R14"/>
    <mergeCell ref="A4:R4"/>
    <mergeCell ref="A5:R5"/>
    <mergeCell ref="A7:R7"/>
    <mergeCell ref="A8:R8"/>
    <mergeCell ref="A10:R10"/>
    <mergeCell ref="A11:R11"/>
  </mergeCells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9" sqref="D8:D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view="pageBreakPreview" zoomScale="80" zoomScaleNormal="100" zoomScaleSheetLayoutView="80" workbookViewId="0">
      <selection activeCell="J50" sqref="J50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4.140625" style="4" customWidth="1"/>
    <col min="5" max="5" width="24.140625" style="4" customWidth="1"/>
    <col min="6" max="6" width="10.85546875" style="4" customWidth="1"/>
    <col min="7" max="7" width="10.42578125" style="4" customWidth="1"/>
    <col min="8" max="8" width="13.85546875" style="4" customWidth="1"/>
    <col min="9" max="9" width="15.5703125" style="4" customWidth="1"/>
    <col min="10" max="10" width="13.5703125" style="4" customWidth="1"/>
    <col min="11" max="11" width="14.28515625" style="4" customWidth="1"/>
    <col min="12" max="16384" width="9.140625" style="4"/>
  </cols>
  <sheetData>
    <row r="1" spans="1:12" ht="28.9" customHeight="1" x14ac:dyDescent="0.25">
      <c r="B1" s="5"/>
      <c r="C1" s="180" t="s">
        <v>3200</v>
      </c>
      <c r="D1" s="180"/>
      <c r="E1" s="180"/>
      <c r="F1" s="180"/>
      <c r="G1" s="180"/>
      <c r="H1" s="180"/>
      <c r="I1" s="180"/>
      <c r="J1" s="5"/>
    </row>
    <row r="2" spans="1:12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2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2" x14ac:dyDescent="0.25">
      <c r="C4" s="152"/>
      <c r="D4" s="152"/>
      <c r="E4" s="152"/>
      <c r="F4" s="152"/>
      <c r="G4" s="152"/>
      <c r="H4" s="152"/>
      <c r="I4" s="152"/>
      <c r="K4" s="153" t="s">
        <v>3189</v>
      </c>
    </row>
    <row r="5" spans="1:12" x14ac:dyDescent="0.25">
      <c r="K5" s="153" t="s">
        <v>3190</v>
      </c>
    </row>
    <row r="6" spans="1:12" x14ac:dyDescent="0.25">
      <c r="K6" s="153"/>
    </row>
    <row r="7" spans="1:12" s="5" customFormat="1" ht="41.25" customHeight="1" x14ac:dyDescent="0.25">
      <c r="A7" s="62" t="s">
        <v>15</v>
      </c>
      <c r="B7" s="62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70"/>
      <c r="I7" s="41" t="s">
        <v>16</v>
      </c>
      <c r="J7" s="71"/>
      <c r="K7" s="178" t="s">
        <v>5</v>
      </c>
    </row>
    <row r="8" spans="1:12" s="5" customFormat="1" ht="60" customHeight="1" thickBot="1" x14ac:dyDescent="0.3">
      <c r="A8" s="63"/>
      <c r="B8" s="63"/>
      <c r="C8" s="179"/>
      <c r="D8" s="179"/>
      <c r="E8" s="179"/>
      <c r="F8" s="179"/>
      <c r="G8" s="179"/>
      <c r="H8" s="25" t="s">
        <v>3</v>
      </c>
      <c r="I8" s="25" t="s">
        <v>24</v>
      </c>
      <c r="J8" s="61" t="s">
        <v>4</v>
      </c>
      <c r="K8" s="179"/>
    </row>
    <row r="9" spans="1:12" s="5" customFormat="1" ht="21.75" customHeight="1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8">
        <v>6</v>
      </c>
      <c r="G9" s="29">
        <v>7</v>
      </c>
      <c r="H9" s="29">
        <v>8</v>
      </c>
      <c r="I9" s="28">
        <v>9</v>
      </c>
      <c r="J9" s="28">
        <v>10</v>
      </c>
      <c r="K9" s="30">
        <v>11</v>
      </c>
    </row>
    <row r="10" spans="1:12" s="5" customFormat="1" ht="29.25" customHeight="1" x14ac:dyDescent="0.25">
      <c r="A10" s="18" t="s">
        <v>2</v>
      </c>
      <c r="B10" s="48"/>
      <c r="C10" s="48"/>
      <c r="D10" s="48"/>
      <c r="E10" s="48"/>
      <c r="F10" s="48"/>
      <c r="G10" s="72"/>
      <c r="H10" s="21">
        <f>SUBTOTAL(9,H11:H347)</f>
        <v>17.423999999999999</v>
      </c>
      <c r="I10" s="21">
        <f>SUBTOTAL(9,I11:I347)</f>
        <v>5.5244999999999989</v>
      </c>
      <c r="J10" s="21">
        <f>SUBTOTAL(9,J11:J347)</f>
        <v>66.378000000000014</v>
      </c>
      <c r="K10" s="21">
        <f>SUBTOTAL(9,K11:K347)</f>
        <v>83.802000000000021</v>
      </c>
      <c r="L10" s="12"/>
    </row>
    <row r="11" spans="1:12" s="5" customFormat="1" ht="29.25" customHeight="1" x14ac:dyDescent="0.25">
      <c r="A11" s="140">
        <v>1</v>
      </c>
      <c r="B11" s="49" t="s">
        <v>1635</v>
      </c>
      <c r="C11" s="15" t="s">
        <v>39</v>
      </c>
      <c r="D11" s="49" t="s">
        <v>348</v>
      </c>
      <c r="E11" s="14" t="s">
        <v>957</v>
      </c>
      <c r="F11" s="14" t="s">
        <v>1051</v>
      </c>
      <c r="G11" s="73">
        <v>3.5</v>
      </c>
      <c r="H11" s="10">
        <f>0.994+0.217</f>
        <v>1.2110000000000001</v>
      </c>
      <c r="I11" s="10">
        <v>0.99399999999999999</v>
      </c>
      <c r="J11" s="10">
        <v>0</v>
      </c>
      <c r="K11" s="24">
        <f t="shared" ref="K11:K54" si="0">SUM(J11,H11)</f>
        <v>1.2110000000000001</v>
      </c>
    </row>
    <row r="12" spans="1:12" s="5" customFormat="1" ht="26.45" customHeight="1" x14ac:dyDescent="0.25">
      <c r="A12" s="140">
        <v>2</v>
      </c>
      <c r="B12" s="49" t="s">
        <v>1636</v>
      </c>
      <c r="C12" s="15" t="s">
        <v>39</v>
      </c>
      <c r="D12" s="49" t="s">
        <v>349</v>
      </c>
      <c r="E12" s="14" t="s">
        <v>957</v>
      </c>
      <c r="F12" s="14" t="s">
        <v>1051</v>
      </c>
      <c r="G12" s="73">
        <v>3.5</v>
      </c>
      <c r="H12" s="10">
        <f>1.165+0.771</f>
        <v>1.9359999999999999</v>
      </c>
      <c r="I12" s="10">
        <v>1.165</v>
      </c>
      <c r="J12" s="10">
        <v>0.24199999999999999</v>
      </c>
      <c r="K12" s="24">
        <f t="shared" si="0"/>
        <v>2.1779999999999999</v>
      </c>
    </row>
    <row r="13" spans="1:12" s="5" customFormat="1" ht="29.45" customHeight="1" x14ac:dyDescent="0.25">
      <c r="A13" s="140">
        <v>3</v>
      </c>
      <c r="B13" s="49" t="s">
        <v>1637</v>
      </c>
      <c r="C13" s="15" t="s">
        <v>39</v>
      </c>
      <c r="D13" s="49" t="s">
        <v>350</v>
      </c>
      <c r="E13" s="14" t="s">
        <v>957</v>
      </c>
      <c r="F13" s="14" t="s">
        <v>1051</v>
      </c>
      <c r="G13" s="73">
        <v>4</v>
      </c>
      <c r="H13" s="10">
        <v>0.68600000000000005</v>
      </c>
      <c r="I13" s="10">
        <v>0</v>
      </c>
      <c r="J13" s="10">
        <v>0</v>
      </c>
      <c r="K13" s="24">
        <f t="shared" si="0"/>
        <v>0.68600000000000005</v>
      </c>
    </row>
    <row r="14" spans="1:12" s="5" customFormat="1" ht="27.6" customHeight="1" x14ac:dyDescent="0.25">
      <c r="A14" s="140">
        <v>4</v>
      </c>
      <c r="B14" s="49" t="s">
        <v>1638</v>
      </c>
      <c r="C14" s="15" t="s">
        <v>39</v>
      </c>
      <c r="D14" s="49" t="s">
        <v>351</v>
      </c>
      <c r="E14" s="14" t="s">
        <v>957</v>
      </c>
      <c r="F14" s="14" t="s">
        <v>1051</v>
      </c>
      <c r="G14" s="73">
        <v>3.5</v>
      </c>
      <c r="H14" s="10">
        <v>2.0219999999999998</v>
      </c>
      <c r="I14" s="10">
        <v>0.63400000000000001</v>
      </c>
      <c r="J14" s="10">
        <v>0</v>
      </c>
      <c r="K14" s="24">
        <f t="shared" si="0"/>
        <v>2.0219999999999998</v>
      </c>
    </row>
    <row r="15" spans="1:12" s="5" customFormat="1" ht="31.5" customHeight="1" x14ac:dyDescent="0.25">
      <c r="A15" s="140">
        <v>5</v>
      </c>
      <c r="B15" s="49" t="s">
        <v>1639</v>
      </c>
      <c r="C15" s="15" t="s">
        <v>38</v>
      </c>
      <c r="D15" s="49" t="s">
        <v>959</v>
      </c>
      <c r="E15" s="14" t="s">
        <v>957</v>
      </c>
      <c r="F15" s="14" t="s">
        <v>1051</v>
      </c>
      <c r="G15" s="73">
        <v>4</v>
      </c>
      <c r="H15" s="10">
        <v>0.59</v>
      </c>
      <c r="I15" s="10">
        <f>0.3075+0.142</f>
        <v>0.44950000000000001</v>
      </c>
      <c r="J15" s="10">
        <v>0</v>
      </c>
      <c r="K15" s="24">
        <f t="shared" si="0"/>
        <v>0.59</v>
      </c>
    </row>
    <row r="16" spans="1:12" s="5" customFormat="1" ht="31.5" customHeight="1" x14ac:dyDescent="0.25">
      <c r="A16" s="140">
        <v>6</v>
      </c>
      <c r="B16" s="49" t="s">
        <v>1640</v>
      </c>
      <c r="C16" s="15" t="s">
        <v>38</v>
      </c>
      <c r="D16" s="49" t="s">
        <v>960</v>
      </c>
      <c r="E16" s="14" t="s">
        <v>957</v>
      </c>
      <c r="F16" s="14" t="s">
        <v>1051</v>
      </c>
      <c r="G16" s="73">
        <v>3.5</v>
      </c>
      <c r="H16" s="10">
        <v>0</v>
      </c>
      <c r="I16" s="10">
        <v>0</v>
      </c>
      <c r="J16" s="10">
        <v>1.071</v>
      </c>
      <c r="K16" s="24">
        <f t="shared" si="0"/>
        <v>1.071</v>
      </c>
    </row>
    <row r="17" spans="1:11" s="5" customFormat="1" ht="26.45" customHeight="1" x14ac:dyDescent="0.25">
      <c r="A17" s="140">
        <v>7</v>
      </c>
      <c r="B17" s="49" t="s">
        <v>1641</v>
      </c>
      <c r="C17" s="15" t="s">
        <v>39</v>
      </c>
      <c r="D17" s="49" t="s">
        <v>352</v>
      </c>
      <c r="E17" s="14" t="s">
        <v>957</v>
      </c>
      <c r="F17" s="14" t="s">
        <v>1051</v>
      </c>
      <c r="G17" s="73">
        <v>3.5</v>
      </c>
      <c r="H17" s="10">
        <v>0.502</v>
      </c>
      <c r="I17" s="10">
        <v>0.502</v>
      </c>
      <c r="J17" s="10">
        <v>0</v>
      </c>
      <c r="K17" s="24">
        <f t="shared" si="0"/>
        <v>0.502</v>
      </c>
    </row>
    <row r="18" spans="1:11" s="5" customFormat="1" ht="26.45" customHeight="1" x14ac:dyDescent="0.25">
      <c r="A18" s="140">
        <v>8</v>
      </c>
      <c r="B18" s="49" t="s">
        <v>1642</v>
      </c>
      <c r="C18" s="15" t="s">
        <v>39</v>
      </c>
      <c r="D18" s="49" t="s">
        <v>353</v>
      </c>
      <c r="E18" s="14" t="s">
        <v>957</v>
      </c>
      <c r="F18" s="14" t="s">
        <v>1051</v>
      </c>
      <c r="G18" s="73">
        <v>3.5</v>
      </c>
      <c r="H18" s="10">
        <v>0.45200000000000001</v>
      </c>
      <c r="I18" s="10">
        <v>0.45200000000000001</v>
      </c>
      <c r="J18" s="10">
        <v>0</v>
      </c>
      <c r="K18" s="24">
        <f t="shared" si="0"/>
        <v>0.45200000000000001</v>
      </c>
    </row>
    <row r="19" spans="1:11" s="5" customFormat="1" ht="29.45" customHeight="1" x14ac:dyDescent="0.25">
      <c r="A19" s="140">
        <v>9</v>
      </c>
      <c r="B19" s="49" t="s">
        <v>1643</v>
      </c>
      <c r="C19" s="15" t="s">
        <v>39</v>
      </c>
      <c r="D19" s="49" t="s">
        <v>354</v>
      </c>
      <c r="E19" s="14" t="s">
        <v>957</v>
      </c>
      <c r="F19" s="14" t="s">
        <v>1051</v>
      </c>
      <c r="G19" s="73">
        <v>3.5</v>
      </c>
      <c r="H19" s="10">
        <v>0.46</v>
      </c>
      <c r="I19" s="10">
        <v>0.46</v>
      </c>
      <c r="J19" s="10">
        <v>0</v>
      </c>
      <c r="K19" s="24">
        <f t="shared" si="0"/>
        <v>0.46</v>
      </c>
    </row>
    <row r="20" spans="1:11" s="5" customFormat="1" ht="37.5" customHeight="1" x14ac:dyDescent="0.25">
      <c r="A20" s="140">
        <v>10</v>
      </c>
      <c r="B20" s="49" t="s">
        <v>1644</v>
      </c>
      <c r="C20" s="15" t="s">
        <v>38</v>
      </c>
      <c r="D20" s="49" t="s">
        <v>355</v>
      </c>
      <c r="E20" s="14" t="s">
        <v>957</v>
      </c>
      <c r="F20" s="14" t="s">
        <v>1051</v>
      </c>
      <c r="G20" s="73">
        <v>3.5</v>
      </c>
      <c r="H20" s="10">
        <v>0</v>
      </c>
      <c r="I20" s="10">
        <v>0</v>
      </c>
      <c r="J20" s="10">
        <v>0.754</v>
      </c>
      <c r="K20" s="24">
        <f t="shared" si="0"/>
        <v>0.754</v>
      </c>
    </row>
    <row r="21" spans="1:11" s="5" customFormat="1" ht="27.6" customHeight="1" x14ac:dyDescent="0.25">
      <c r="A21" s="140">
        <v>11</v>
      </c>
      <c r="B21" s="49" t="s">
        <v>1645</v>
      </c>
      <c r="C21" s="15" t="s">
        <v>39</v>
      </c>
      <c r="D21" s="49" t="s">
        <v>356</v>
      </c>
      <c r="E21" s="14" t="s">
        <v>957</v>
      </c>
      <c r="F21" s="14" t="s">
        <v>1051</v>
      </c>
      <c r="G21" s="73">
        <v>4</v>
      </c>
      <c r="H21" s="10">
        <v>1.2909999999999999</v>
      </c>
      <c r="I21" s="10">
        <v>0.40600000000000003</v>
      </c>
      <c r="J21" s="10">
        <v>0</v>
      </c>
      <c r="K21" s="24">
        <f t="shared" si="0"/>
        <v>1.2909999999999999</v>
      </c>
    </row>
    <row r="22" spans="1:11" s="5" customFormat="1" ht="28.9" customHeight="1" x14ac:dyDescent="0.25">
      <c r="A22" s="140">
        <v>12</v>
      </c>
      <c r="B22" s="49" t="s">
        <v>1646</v>
      </c>
      <c r="C22" s="15" t="s">
        <v>39</v>
      </c>
      <c r="D22" s="49" t="s">
        <v>357</v>
      </c>
      <c r="E22" s="14" t="s">
        <v>957</v>
      </c>
      <c r="F22" s="14" t="s">
        <v>1051</v>
      </c>
      <c r="G22" s="73">
        <v>4</v>
      </c>
      <c r="H22" s="10">
        <v>2.2869999999999999</v>
      </c>
      <c r="I22" s="10">
        <v>0</v>
      </c>
      <c r="J22" s="10">
        <v>0.123</v>
      </c>
      <c r="K22" s="24">
        <f t="shared" si="0"/>
        <v>2.41</v>
      </c>
    </row>
    <row r="23" spans="1:11" s="5" customFormat="1" ht="34.5" customHeight="1" x14ac:dyDescent="0.25">
      <c r="A23" s="140">
        <v>13</v>
      </c>
      <c r="B23" s="49" t="s">
        <v>1647</v>
      </c>
      <c r="C23" s="15" t="s">
        <v>38</v>
      </c>
      <c r="D23" s="49" t="s">
        <v>413</v>
      </c>
      <c r="E23" s="14" t="s">
        <v>957</v>
      </c>
      <c r="F23" s="14" t="s">
        <v>1051</v>
      </c>
      <c r="G23" s="73">
        <v>3.5</v>
      </c>
      <c r="H23" s="10">
        <v>0</v>
      </c>
      <c r="I23" s="10">
        <v>0</v>
      </c>
      <c r="J23" s="10">
        <v>0.84</v>
      </c>
      <c r="K23" s="24">
        <f t="shared" si="0"/>
        <v>0.84</v>
      </c>
    </row>
    <row r="24" spans="1:11" s="5" customFormat="1" ht="30" customHeight="1" x14ac:dyDescent="0.25">
      <c r="A24" s="140">
        <v>14</v>
      </c>
      <c r="B24" s="49" t="s">
        <v>1648</v>
      </c>
      <c r="C24" s="15" t="s">
        <v>39</v>
      </c>
      <c r="D24" s="49" t="s">
        <v>358</v>
      </c>
      <c r="E24" s="14" t="s">
        <v>957</v>
      </c>
      <c r="F24" s="14" t="s">
        <v>1051</v>
      </c>
      <c r="G24" s="73">
        <v>3.5</v>
      </c>
      <c r="H24" s="10">
        <v>0.745</v>
      </c>
      <c r="I24" s="10">
        <v>0</v>
      </c>
      <c r="J24" s="10">
        <v>0.52</v>
      </c>
      <c r="K24" s="24">
        <f t="shared" si="0"/>
        <v>1.2650000000000001</v>
      </c>
    </row>
    <row r="25" spans="1:11" s="5" customFormat="1" ht="33.75" customHeight="1" x14ac:dyDescent="0.25">
      <c r="A25" s="140">
        <v>15</v>
      </c>
      <c r="B25" s="49" t="s">
        <v>1649</v>
      </c>
      <c r="C25" s="15" t="s">
        <v>38</v>
      </c>
      <c r="D25" s="49" t="s">
        <v>414</v>
      </c>
      <c r="E25" s="14" t="s">
        <v>957</v>
      </c>
      <c r="F25" s="14" t="s">
        <v>1051</v>
      </c>
      <c r="G25" s="73">
        <v>3.5</v>
      </c>
      <c r="H25" s="10">
        <v>0</v>
      </c>
      <c r="I25" s="10">
        <v>0</v>
      </c>
      <c r="J25" s="10">
        <v>0.70399999999999996</v>
      </c>
      <c r="K25" s="24">
        <f t="shared" si="0"/>
        <v>0.70399999999999996</v>
      </c>
    </row>
    <row r="26" spans="1:11" s="5" customFormat="1" ht="33" customHeight="1" x14ac:dyDescent="0.25">
      <c r="A26" s="140">
        <v>16</v>
      </c>
      <c r="B26" s="49" t="s">
        <v>1650</v>
      </c>
      <c r="C26" s="15" t="s">
        <v>38</v>
      </c>
      <c r="D26" s="49" t="s">
        <v>415</v>
      </c>
      <c r="E26" s="14" t="s">
        <v>957</v>
      </c>
      <c r="F26" s="14" t="s">
        <v>1051</v>
      </c>
      <c r="G26" s="73">
        <v>3.5</v>
      </c>
      <c r="H26" s="10">
        <v>0</v>
      </c>
      <c r="I26" s="10">
        <v>0</v>
      </c>
      <c r="J26" s="10">
        <v>0.45</v>
      </c>
      <c r="K26" s="24">
        <f t="shared" si="0"/>
        <v>0.45</v>
      </c>
    </row>
    <row r="27" spans="1:11" s="5" customFormat="1" ht="33.75" customHeight="1" x14ac:dyDescent="0.25">
      <c r="A27" s="140">
        <v>17</v>
      </c>
      <c r="B27" s="49" t="s">
        <v>1651</v>
      </c>
      <c r="C27" s="15" t="s">
        <v>38</v>
      </c>
      <c r="D27" s="49" t="s">
        <v>416</v>
      </c>
      <c r="E27" s="14" t="s">
        <v>957</v>
      </c>
      <c r="F27" s="14" t="s">
        <v>1051</v>
      </c>
      <c r="G27" s="73">
        <v>3.5</v>
      </c>
      <c r="H27" s="10">
        <v>0.154</v>
      </c>
      <c r="I27" s="10">
        <v>0</v>
      </c>
      <c r="J27" s="10">
        <v>0</v>
      </c>
      <c r="K27" s="24">
        <f t="shared" si="0"/>
        <v>0.154</v>
      </c>
    </row>
    <row r="28" spans="1:11" s="5" customFormat="1" ht="32.25" customHeight="1" x14ac:dyDescent="0.25">
      <c r="A28" s="140">
        <v>18</v>
      </c>
      <c r="B28" s="49" t="s">
        <v>1652</v>
      </c>
      <c r="C28" s="15" t="s">
        <v>39</v>
      </c>
      <c r="D28" s="49" t="s">
        <v>359</v>
      </c>
      <c r="E28" s="14" t="s">
        <v>957</v>
      </c>
      <c r="F28" s="14" t="s">
        <v>1051</v>
      </c>
      <c r="G28" s="73">
        <v>4</v>
      </c>
      <c r="H28" s="10">
        <v>0.69699999999999995</v>
      </c>
      <c r="I28" s="10">
        <v>0.46200000000000002</v>
      </c>
      <c r="J28" s="10">
        <v>0</v>
      </c>
      <c r="K28" s="24">
        <f t="shared" si="0"/>
        <v>0.69699999999999995</v>
      </c>
    </row>
    <row r="29" spans="1:11" s="5" customFormat="1" ht="24" customHeight="1" x14ac:dyDescent="0.25">
      <c r="A29" s="140">
        <v>19</v>
      </c>
      <c r="B29" s="49" t="s">
        <v>1653</v>
      </c>
      <c r="C29" s="15" t="s">
        <v>39</v>
      </c>
      <c r="D29" s="49" t="s">
        <v>361</v>
      </c>
      <c r="E29" s="14" t="s">
        <v>957</v>
      </c>
      <c r="F29" s="14" t="s">
        <v>1051</v>
      </c>
      <c r="G29" s="73">
        <v>3.5</v>
      </c>
      <c r="H29" s="10">
        <v>1.8759999999999999</v>
      </c>
      <c r="I29" s="10">
        <v>0</v>
      </c>
      <c r="J29" s="10">
        <v>0.55400000000000005</v>
      </c>
      <c r="K29" s="24">
        <f t="shared" si="0"/>
        <v>2.4299999999999997</v>
      </c>
    </row>
    <row r="30" spans="1:11" s="5" customFormat="1" ht="33.75" customHeight="1" x14ac:dyDescent="0.25">
      <c r="A30" s="140">
        <v>20</v>
      </c>
      <c r="B30" s="49" t="s">
        <v>1654</v>
      </c>
      <c r="C30" s="15" t="s">
        <v>38</v>
      </c>
      <c r="D30" s="49" t="s">
        <v>417</v>
      </c>
      <c r="E30" s="14" t="s">
        <v>957</v>
      </c>
      <c r="F30" s="14" t="s">
        <v>1051</v>
      </c>
      <c r="G30" s="73">
        <v>3.5</v>
      </c>
      <c r="H30" s="10">
        <v>0</v>
      </c>
      <c r="I30" s="10">
        <v>0</v>
      </c>
      <c r="J30" s="10">
        <f>0.461+0.458+0.352</f>
        <v>1.2709999999999999</v>
      </c>
      <c r="K30" s="24">
        <f t="shared" si="0"/>
        <v>1.2709999999999999</v>
      </c>
    </row>
    <row r="31" spans="1:11" s="5" customFormat="1" ht="28.9" customHeight="1" x14ac:dyDescent="0.25">
      <c r="A31" s="140">
        <v>21</v>
      </c>
      <c r="B31" s="49" t="s">
        <v>1655</v>
      </c>
      <c r="C31" s="15" t="s">
        <v>39</v>
      </c>
      <c r="D31" s="49" t="s">
        <v>360</v>
      </c>
      <c r="E31" s="14" t="s">
        <v>957</v>
      </c>
      <c r="F31" s="14" t="s">
        <v>1051</v>
      </c>
      <c r="G31" s="73">
        <v>3.5</v>
      </c>
      <c r="H31" s="10">
        <v>0.53300000000000003</v>
      </c>
      <c r="I31" s="10">
        <v>0</v>
      </c>
      <c r="J31" s="10">
        <v>0</v>
      </c>
      <c r="K31" s="24">
        <f t="shared" si="0"/>
        <v>0.53300000000000003</v>
      </c>
    </row>
    <row r="32" spans="1:11" s="5" customFormat="1" ht="29.45" customHeight="1" x14ac:dyDescent="0.25">
      <c r="A32" s="140">
        <v>22</v>
      </c>
      <c r="B32" s="49" t="s">
        <v>1656</v>
      </c>
      <c r="C32" s="15" t="s">
        <v>38</v>
      </c>
      <c r="D32" s="49" t="s">
        <v>362</v>
      </c>
      <c r="E32" s="14" t="s">
        <v>957</v>
      </c>
      <c r="F32" s="14" t="s">
        <v>1051</v>
      </c>
      <c r="G32" s="73">
        <v>3.5</v>
      </c>
      <c r="H32" s="10">
        <v>0</v>
      </c>
      <c r="I32" s="10">
        <v>0</v>
      </c>
      <c r="J32" s="10">
        <v>1.633</v>
      </c>
      <c r="K32" s="24">
        <f t="shared" si="0"/>
        <v>1.633</v>
      </c>
    </row>
    <row r="33" spans="1:11" s="5" customFormat="1" ht="28.9" customHeight="1" x14ac:dyDescent="0.25">
      <c r="A33" s="140">
        <v>23</v>
      </c>
      <c r="B33" s="49" t="s">
        <v>1657</v>
      </c>
      <c r="C33" s="15" t="s">
        <v>38</v>
      </c>
      <c r="D33" s="49" t="s">
        <v>363</v>
      </c>
      <c r="E33" s="14" t="s">
        <v>957</v>
      </c>
      <c r="F33" s="14" t="s">
        <v>1051</v>
      </c>
      <c r="G33" s="73">
        <v>3.5</v>
      </c>
      <c r="H33" s="10">
        <v>0</v>
      </c>
      <c r="I33" s="10">
        <v>0</v>
      </c>
      <c r="J33" s="10">
        <v>1.6140000000000001</v>
      </c>
      <c r="K33" s="24">
        <f t="shared" si="0"/>
        <v>1.6140000000000001</v>
      </c>
    </row>
    <row r="34" spans="1:11" s="5" customFormat="1" ht="31.9" customHeight="1" x14ac:dyDescent="0.25">
      <c r="A34" s="140">
        <v>24</v>
      </c>
      <c r="B34" s="49" t="s">
        <v>1658</v>
      </c>
      <c r="C34" s="15" t="s">
        <v>38</v>
      </c>
      <c r="D34" s="49" t="s">
        <v>364</v>
      </c>
      <c r="E34" s="14" t="s">
        <v>957</v>
      </c>
      <c r="F34" s="14" t="s">
        <v>1051</v>
      </c>
      <c r="G34" s="73">
        <v>3.5</v>
      </c>
      <c r="H34" s="10">
        <v>0</v>
      </c>
      <c r="I34" s="10">
        <v>0</v>
      </c>
      <c r="J34" s="10">
        <v>0.55500000000000005</v>
      </c>
      <c r="K34" s="24">
        <f t="shared" si="0"/>
        <v>0.55500000000000005</v>
      </c>
    </row>
    <row r="35" spans="1:11" s="5" customFormat="1" ht="29.45" customHeight="1" x14ac:dyDescent="0.25">
      <c r="A35" s="140">
        <v>25</v>
      </c>
      <c r="B35" s="49" t="s">
        <v>1659</v>
      </c>
      <c r="C35" s="15" t="s">
        <v>38</v>
      </c>
      <c r="D35" s="49" t="s">
        <v>365</v>
      </c>
      <c r="E35" s="14" t="s">
        <v>957</v>
      </c>
      <c r="F35" s="14" t="s">
        <v>1051</v>
      </c>
      <c r="G35" s="73">
        <v>3.5</v>
      </c>
      <c r="H35" s="10">
        <v>0</v>
      </c>
      <c r="I35" s="10">
        <v>0</v>
      </c>
      <c r="J35" s="10">
        <v>2.452</v>
      </c>
      <c r="K35" s="24">
        <f t="shared" si="0"/>
        <v>2.452</v>
      </c>
    </row>
    <row r="36" spans="1:11" s="5" customFormat="1" ht="31.15" customHeight="1" x14ac:dyDescent="0.25">
      <c r="A36" s="140">
        <v>26</v>
      </c>
      <c r="B36" s="49" t="s">
        <v>1660</v>
      </c>
      <c r="C36" s="15" t="s">
        <v>38</v>
      </c>
      <c r="D36" s="49" t="s">
        <v>366</v>
      </c>
      <c r="E36" s="14" t="s">
        <v>957</v>
      </c>
      <c r="F36" s="14" t="s">
        <v>1051</v>
      </c>
      <c r="G36" s="73">
        <v>3.5</v>
      </c>
      <c r="H36" s="10">
        <v>0</v>
      </c>
      <c r="I36" s="10">
        <v>0</v>
      </c>
      <c r="J36" s="10">
        <v>2.91</v>
      </c>
      <c r="K36" s="24">
        <f t="shared" si="0"/>
        <v>2.91</v>
      </c>
    </row>
    <row r="37" spans="1:11" s="5" customFormat="1" ht="28.15" customHeight="1" x14ac:dyDescent="0.25">
      <c r="A37" s="140">
        <v>27</v>
      </c>
      <c r="B37" s="49" t="s">
        <v>1661</v>
      </c>
      <c r="C37" s="15" t="s">
        <v>38</v>
      </c>
      <c r="D37" s="49" t="s">
        <v>367</v>
      </c>
      <c r="E37" s="14" t="s">
        <v>957</v>
      </c>
      <c r="F37" s="14" t="s">
        <v>1051</v>
      </c>
      <c r="G37" s="73">
        <v>3.5</v>
      </c>
      <c r="H37" s="10">
        <v>0</v>
      </c>
      <c r="I37" s="10">
        <v>0</v>
      </c>
      <c r="J37" s="10">
        <v>3.1850000000000001</v>
      </c>
      <c r="K37" s="24">
        <f t="shared" si="0"/>
        <v>3.1850000000000001</v>
      </c>
    </row>
    <row r="38" spans="1:11" s="5" customFormat="1" ht="34.5" customHeight="1" x14ac:dyDescent="0.25">
      <c r="A38" s="140">
        <v>28</v>
      </c>
      <c r="B38" s="49" t="s">
        <v>1662</v>
      </c>
      <c r="C38" s="15" t="s">
        <v>38</v>
      </c>
      <c r="D38" s="49" t="s">
        <v>368</v>
      </c>
      <c r="E38" s="14" t="s">
        <v>957</v>
      </c>
      <c r="F38" s="14" t="s">
        <v>1051</v>
      </c>
      <c r="G38" s="73">
        <v>3.5</v>
      </c>
      <c r="H38" s="10">
        <v>0</v>
      </c>
      <c r="I38" s="10">
        <v>0</v>
      </c>
      <c r="J38" s="10">
        <v>1.675</v>
      </c>
      <c r="K38" s="24">
        <f t="shared" si="0"/>
        <v>1.675</v>
      </c>
    </row>
    <row r="39" spans="1:11" s="5" customFormat="1" ht="64.5" customHeight="1" x14ac:dyDescent="0.25">
      <c r="A39" s="140">
        <v>29</v>
      </c>
      <c r="B39" s="49" t="s">
        <v>1663</v>
      </c>
      <c r="C39" s="15" t="s">
        <v>38</v>
      </c>
      <c r="D39" s="49" t="s">
        <v>418</v>
      </c>
      <c r="E39" s="14" t="s">
        <v>957</v>
      </c>
      <c r="F39" s="14" t="s">
        <v>1051</v>
      </c>
      <c r="G39" s="73">
        <v>3.5</v>
      </c>
      <c r="H39" s="10">
        <v>0</v>
      </c>
      <c r="I39" s="10">
        <v>0</v>
      </c>
      <c r="J39" s="10">
        <v>6.57</v>
      </c>
      <c r="K39" s="24">
        <f t="shared" si="0"/>
        <v>6.57</v>
      </c>
    </row>
    <row r="40" spans="1:11" s="5" customFormat="1" ht="69" customHeight="1" x14ac:dyDescent="0.25">
      <c r="A40" s="140">
        <v>30</v>
      </c>
      <c r="B40" s="49" t="s">
        <v>1664</v>
      </c>
      <c r="C40" s="15" t="s">
        <v>38</v>
      </c>
      <c r="D40" s="49" t="s">
        <v>419</v>
      </c>
      <c r="E40" s="14" t="s">
        <v>957</v>
      </c>
      <c r="F40" s="14" t="s">
        <v>1051</v>
      </c>
      <c r="G40" s="73">
        <v>3.5</v>
      </c>
      <c r="H40" s="10">
        <v>0</v>
      </c>
      <c r="I40" s="10">
        <v>0</v>
      </c>
      <c r="J40" s="10">
        <v>10.252000000000001</v>
      </c>
      <c r="K40" s="24">
        <f t="shared" si="0"/>
        <v>10.252000000000001</v>
      </c>
    </row>
    <row r="41" spans="1:11" s="5" customFormat="1" ht="35.25" customHeight="1" x14ac:dyDescent="0.25">
      <c r="A41" s="140">
        <v>31</v>
      </c>
      <c r="B41" s="49" t="s">
        <v>1665</v>
      </c>
      <c r="C41" s="15" t="s">
        <v>38</v>
      </c>
      <c r="D41" s="49" t="s">
        <v>369</v>
      </c>
      <c r="E41" s="14" t="s">
        <v>957</v>
      </c>
      <c r="F41" s="14" t="s">
        <v>1051</v>
      </c>
      <c r="G41" s="73">
        <v>3.5</v>
      </c>
      <c r="H41" s="10">
        <v>0</v>
      </c>
      <c r="I41" s="10">
        <v>0</v>
      </c>
      <c r="J41" s="10">
        <v>2.0449999999999999</v>
      </c>
      <c r="K41" s="24">
        <f t="shared" si="0"/>
        <v>2.0449999999999999</v>
      </c>
    </row>
    <row r="42" spans="1:11" s="5" customFormat="1" ht="25.5" customHeight="1" x14ac:dyDescent="0.25">
      <c r="A42" s="140">
        <v>32</v>
      </c>
      <c r="B42" s="49" t="s">
        <v>1666</v>
      </c>
      <c r="C42" s="15" t="s">
        <v>38</v>
      </c>
      <c r="D42" s="49" t="s">
        <v>370</v>
      </c>
      <c r="E42" s="14" t="s">
        <v>957</v>
      </c>
      <c r="F42" s="14" t="s">
        <v>1051</v>
      </c>
      <c r="G42" s="73">
        <v>3.5</v>
      </c>
      <c r="H42" s="10">
        <v>0</v>
      </c>
      <c r="I42" s="10">
        <v>0</v>
      </c>
      <c r="J42" s="10">
        <v>2.032</v>
      </c>
      <c r="K42" s="24">
        <f t="shared" si="0"/>
        <v>2.032</v>
      </c>
    </row>
    <row r="43" spans="1:11" s="5" customFormat="1" ht="28.15" customHeight="1" x14ac:dyDescent="0.25">
      <c r="A43" s="140">
        <v>33</v>
      </c>
      <c r="B43" s="49" t="s">
        <v>1667</v>
      </c>
      <c r="C43" s="15" t="s">
        <v>38</v>
      </c>
      <c r="D43" s="49" t="s">
        <v>371</v>
      </c>
      <c r="E43" s="14" t="s">
        <v>957</v>
      </c>
      <c r="F43" s="14" t="s">
        <v>1051</v>
      </c>
      <c r="G43" s="73">
        <v>3.5</v>
      </c>
      <c r="H43" s="10">
        <v>0</v>
      </c>
      <c r="I43" s="10">
        <v>0</v>
      </c>
      <c r="J43" s="10">
        <v>1.542</v>
      </c>
      <c r="K43" s="24">
        <f t="shared" si="0"/>
        <v>1.542</v>
      </c>
    </row>
    <row r="44" spans="1:11" s="5" customFormat="1" ht="30.6" customHeight="1" x14ac:dyDescent="0.25">
      <c r="A44" s="140">
        <v>34</v>
      </c>
      <c r="B44" s="49" t="s">
        <v>1668</v>
      </c>
      <c r="C44" s="15" t="s">
        <v>38</v>
      </c>
      <c r="D44" s="49" t="s">
        <v>372</v>
      </c>
      <c r="E44" s="14" t="s">
        <v>957</v>
      </c>
      <c r="F44" s="14" t="s">
        <v>1051</v>
      </c>
      <c r="G44" s="73">
        <v>3.5</v>
      </c>
      <c r="H44" s="10">
        <v>0</v>
      </c>
      <c r="I44" s="10">
        <v>0</v>
      </c>
      <c r="J44" s="10">
        <v>2.7349999999999999</v>
      </c>
      <c r="K44" s="24">
        <f t="shared" si="0"/>
        <v>2.7349999999999999</v>
      </c>
    </row>
    <row r="45" spans="1:11" s="5" customFormat="1" ht="33.75" customHeight="1" x14ac:dyDescent="0.25">
      <c r="A45" s="140">
        <v>35</v>
      </c>
      <c r="B45" s="49" t="s">
        <v>1669</v>
      </c>
      <c r="C45" s="15" t="s">
        <v>38</v>
      </c>
      <c r="D45" s="49" t="s">
        <v>420</v>
      </c>
      <c r="E45" s="14" t="s">
        <v>957</v>
      </c>
      <c r="F45" s="14" t="s">
        <v>1051</v>
      </c>
      <c r="G45" s="73">
        <v>3.5</v>
      </c>
      <c r="H45" s="10">
        <v>0</v>
      </c>
      <c r="I45" s="10">
        <v>0</v>
      </c>
      <c r="J45" s="10">
        <v>0.71799999999999997</v>
      </c>
      <c r="K45" s="24">
        <f t="shared" si="0"/>
        <v>0.71799999999999997</v>
      </c>
    </row>
    <row r="46" spans="1:11" s="5" customFormat="1" ht="31.15" customHeight="1" x14ac:dyDescent="0.25">
      <c r="A46" s="140">
        <v>36</v>
      </c>
      <c r="B46" s="49" t="s">
        <v>1670</v>
      </c>
      <c r="C46" s="15" t="s">
        <v>38</v>
      </c>
      <c r="D46" s="49" t="s">
        <v>421</v>
      </c>
      <c r="E46" s="14" t="s">
        <v>957</v>
      </c>
      <c r="F46" s="14" t="s">
        <v>1051</v>
      </c>
      <c r="G46" s="73">
        <v>3.5</v>
      </c>
      <c r="H46" s="10">
        <v>0</v>
      </c>
      <c r="I46" s="10">
        <v>0</v>
      </c>
      <c r="J46" s="10">
        <v>0.84699999999999998</v>
      </c>
      <c r="K46" s="24">
        <f t="shared" si="0"/>
        <v>0.84699999999999998</v>
      </c>
    </row>
    <row r="47" spans="1:11" s="5" customFormat="1" ht="34.5" customHeight="1" x14ac:dyDescent="0.25">
      <c r="A47" s="140">
        <v>37</v>
      </c>
      <c r="B47" s="49" t="s">
        <v>1671</v>
      </c>
      <c r="C47" s="15" t="s">
        <v>38</v>
      </c>
      <c r="D47" s="49" t="s">
        <v>373</v>
      </c>
      <c r="E47" s="14" t="s">
        <v>957</v>
      </c>
      <c r="F47" s="14" t="s">
        <v>1051</v>
      </c>
      <c r="G47" s="73">
        <v>3.5</v>
      </c>
      <c r="H47" s="10">
        <v>0</v>
      </c>
      <c r="I47" s="10">
        <v>0</v>
      </c>
      <c r="J47" s="10">
        <v>2.464</v>
      </c>
      <c r="K47" s="24">
        <f t="shared" si="0"/>
        <v>2.464</v>
      </c>
    </row>
    <row r="48" spans="1:11" s="5" customFormat="1" ht="33.75" customHeight="1" x14ac:dyDescent="0.25">
      <c r="A48" s="140">
        <v>38</v>
      </c>
      <c r="B48" s="49" t="s">
        <v>1672</v>
      </c>
      <c r="C48" s="33" t="s">
        <v>38</v>
      </c>
      <c r="D48" s="49" t="s">
        <v>424</v>
      </c>
      <c r="E48" s="14" t="s">
        <v>957</v>
      </c>
      <c r="F48" s="14" t="s">
        <v>1051</v>
      </c>
      <c r="G48" s="73">
        <v>3.5</v>
      </c>
      <c r="H48" s="10">
        <v>0</v>
      </c>
      <c r="I48" s="10">
        <v>0</v>
      </c>
      <c r="J48" s="10">
        <v>3.6</v>
      </c>
      <c r="K48" s="24">
        <f t="shared" si="0"/>
        <v>3.6</v>
      </c>
    </row>
    <row r="49" spans="1:11" s="5" customFormat="1" ht="28.9" customHeight="1" x14ac:dyDescent="0.25">
      <c r="A49" s="140">
        <v>39</v>
      </c>
      <c r="B49" s="49" t="s">
        <v>1673</v>
      </c>
      <c r="C49" s="15" t="s">
        <v>38</v>
      </c>
      <c r="D49" s="49" t="s">
        <v>374</v>
      </c>
      <c r="E49" s="14" t="s">
        <v>957</v>
      </c>
      <c r="F49" s="14" t="s">
        <v>1051</v>
      </c>
      <c r="G49" s="73">
        <v>3.5</v>
      </c>
      <c r="H49" s="10">
        <v>1.5</v>
      </c>
      <c r="I49" s="10">
        <v>0</v>
      </c>
      <c r="J49" s="10">
        <v>0</v>
      </c>
      <c r="K49" s="24">
        <f t="shared" si="0"/>
        <v>1.5</v>
      </c>
    </row>
    <row r="50" spans="1:11" s="5" customFormat="1" ht="28.9" customHeight="1" x14ac:dyDescent="0.25">
      <c r="A50" s="140">
        <v>40</v>
      </c>
      <c r="B50" s="49" t="s">
        <v>1674</v>
      </c>
      <c r="C50" s="15" t="s">
        <v>38</v>
      </c>
      <c r="D50" s="49" t="s">
        <v>375</v>
      </c>
      <c r="E50" s="14" t="s">
        <v>957</v>
      </c>
      <c r="F50" s="14" t="s">
        <v>1051</v>
      </c>
      <c r="G50" s="73">
        <v>3.5</v>
      </c>
      <c r="H50" s="10">
        <v>0</v>
      </c>
      <c r="I50" s="10">
        <v>0</v>
      </c>
      <c r="J50" s="10">
        <v>1.17</v>
      </c>
      <c r="K50" s="24">
        <f t="shared" si="0"/>
        <v>1.17</v>
      </c>
    </row>
    <row r="51" spans="1:11" s="5" customFormat="1" ht="65.25" customHeight="1" x14ac:dyDescent="0.25">
      <c r="A51" s="140">
        <v>41</v>
      </c>
      <c r="B51" s="49" t="s">
        <v>1675</v>
      </c>
      <c r="C51" s="33" t="s">
        <v>38</v>
      </c>
      <c r="D51" s="49" t="s">
        <v>422</v>
      </c>
      <c r="E51" s="14" t="s">
        <v>957</v>
      </c>
      <c r="F51" s="14" t="s">
        <v>1051</v>
      </c>
      <c r="G51" s="73">
        <v>3.5</v>
      </c>
      <c r="H51" s="10">
        <v>0</v>
      </c>
      <c r="I51" s="10">
        <v>0</v>
      </c>
      <c r="J51" s="10">
        <v>6.0659999999999998</v>
      </c>
      <c r="K51" s="24">
        <f t="shared" si="0"/>
        <v>6.0659999999999998</v>
      </c>
    </row>
    <row r="52" spans="1:11" s="5" customFormat="1" ht="35.25" customHeight="1" x14ac:dyDescent="0.25">
      <c r="A52" s="140">
        <v>42</v>
      </c>
      <c r="B52" s="49" t="s">
        <v>1676</v>
      </c>
      <c r="C52" s="33" t="s">
        <v>38</v>
      </c>
      <c r="D52" s="49" t="s">
        <v>376</v>
      </c>
      <c r="E52" s="14" t="s">
        <v>957</v>
      </c>
      <c r="F52" s="14" t="s">
        <v>1051</v>
      </c>
      <c r="G52" s="73">
        <v>3.5</v>
      </c>
      <c r="H52" s="10">
        <v>0</v>
      </c>
      <c r="I52" s="10">
        <v>0</v>
      </c>
      <c r="J52" s="10">
        <v>3.6139999999999999</v>
      </c>
      <c r="K52" s="24">
        <f t="shared" si="0"/>
        <v>3.6139999999999999</v>
      </c>
    </row>
    <row r="53" spans="1:11" s="5" customFormat="1" ht="30.6" customHeight="1" x14ac:dyDescent="0.25">
      <c r="A53" s="140">
        <v>43</v>
      </c>
      <c r="B53" s="49" t="s">
        <v>1677</v>
      </c>
      <c r="C53" s="15" t="s">
        <v>38</v>
      </c>
      <c r="D53" s="49" t="s">
        <v>377</v>
      </c>
      <c r="E53" s="14" t="s">
        <v>957</v>
      </c>
      <c r="F53" s="14" t="s">
        <v>1051</v>
      </c>
      <c r="G53" s="73">
        <v>3.5</v>
      </c>
      <c r="H53" s="10">
        <v>0</v>
      </c>
      <c r="I53" s="10">
        <v>0</v>
      </c>
      <c r="J53" s="10">
        <v>2.17</v>
      </c>
      <c r="K53" s="24">
        <f t="shared" si="0"/>
        <v>2.17</v>
      </c>
    </row>
    <row r="54" spans="1:11" s="5" customFormat="1" ht="36" customHeight="1" x14ac:dyDescent="0.25">
      <c r="A54" s="140">
        <v>44</v>
      </c>
      <c r="B54" s="49" t="s">
        <v>1678</v>
      </c>
      <c r="C54" s="15" t="s">
        <v>38</v>
      </c>
      <c r="D54" s="49" t="s">
        <v>423</v>
      </c>
      <c r="E54" s="14" t="s">
        <v>957</v>
      </c>
      <c r="F54" s="14" t="s">
        <v>1051</v>
      </c>
      <c r="G54" s="73">
        <v>3.5</v>
      </c>
      <c r="H54" s="10">
        <v>0.48199999999999998</v>
      </c>
      <c r="I54" s="10">
        <v>0</v>
      </c>
      <c r="J54" s="10">
        <v>0</v>
      </c>
      <c r="K54" s="24">
        <f t="shared" si="0"/>
        <v>0.48199999999999998</v>
      </c>
    </row>
  </sheetData>
  <sheetProtection insertRows="0" deleteRows="0" sort="0"/>
  <mergeCells count="7">
    <mergeCell ref="K7:K8"/>
    <mergeCell ref="F7:F8"/>
    <mergeCell ref="C1:I1"/>
    <mergeCell ref="C7:C8"/>
    <mergeCell ref="D7:D8"/>
    <mergeCell ref="E7:E8"/>
    <mergeCell ref="G7:G8"/>
  </mergeCells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opLeftCell="A106" zoomScaleNormal="100" zoomScaleSheetLayoutView="80" workbookViewId="0">
      <selection activeCell="J30" sqref="H30:J30"/>
    </sheetView>
  </sheetViews>
  <sheetFormatPr defaultColWidth="9.140625" defaultRowHeight="15" x14ac:dyDescent="0.25"/>
  <cols>
    <col min="1" max="1" width="7.140625" style="4" customWidth="1"/>
    <col min="2" max="2" width="23.85546875" style="4" customWidth="1"/>
    <col min="3" max="3" width="14.85546875" style="4" customWidth="1"/>
    <col min="4" max="4" width="30.85546875" style="4" customWidth="1"/>
    <col min="5" max="5" width="23" style="4" customWidth="1"/>
    <col min="6" max="6" width="9.5703125" style="4" customWidth="1"/>
    <col min="7" max="7" width="8.85546875" style="4" customWidth="1"/>
    <col min="8" max="8" width="12.85546875" style="4" customWidth="1"/>
    <col min="9" max="9" width="15.28515625" style="4" customWidth="1"/>
    <col min="10" max="10" width="11.85546875" style="4" customWidth="1"/>
    <col min="11" max="11" width="14.42578125" style="4" customWidth="1"/>
    <col min="12" max="16384" width="9.140625" style="4"/>
  </cols>
  <sheetData>
    <row r="1" spans="1:11" ht="28.9" customHeight="1" x14ac:dyDescent="0.25">
      <c r="B1" s="5"/>
      <c r="C1" s="180" t="s">
        <v>3199</v>
      </c>
      <c r="D1" s="180"/>
      <c r="E1" s="180"/>
      <c r="F1" s="180"/>
      <c r="G1" s="180"/>
      <c r="H1" s="180"/>
      <c r="I1" s="180"/>
      <c r="J1" s="5"/>
    </row>
    <row r="2" spans="1:1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x14ac:dyDescent="0.25">
      <c r="C4" s="152"/>
      <c r="D4" s="152"/>
      <c r="E4" s="152"/>
      <c r="F4" s="152"/>
      <c r="G4" s="152"/>
      <c r="H4" s="152"/>
      <c r="I4" s="152"/>
      <c r="K4" s="153" t="s">
        <v>3191</v>
      </c>
    </row>
    <row r="5" spans="1:11" x14ac:dyDescent="0.25">
      <c r="K5" s="153" t="s">
        <v>3192</v>
      </c>
    </row>
    <row r="6" spans="1:11" x14ac:dyDescent="0.25">
      <c r="K6" s="153"/>
    </row>
    <row r="7" spans="1:11" s="5" customFormat="1" ht="41.25" customHeight="1" x14ac:dyDescent="0.25">
      <c r="A7" s="178" t="s">
        <v>15</v>
      </c>
      <c r="B7" s="178" t="s">
        <v>0</v>
      </c>
      <c r="C7" s="178" t="s">
        <v>13</v>
      </c>
      <c r="D7" s="178" t="s">
        <v>1</v>
      </c>
      <c r="E7" s="178" t="s">
        <v>6</v>
      </c>
      <c r="F7" s="178" t="s">
        <v>14</v>
      </c>
      <c r="G7" s="178" t="s">
        <v>958</v>
      </c>
      <c r="H7" s="43"/>
      <c r="I7" s="44" t="s">
        <v>16</v>
      </c>
      <c r="J7" s="149"/>
      <c r="K7" s="178" t="s">
        <v>5</v>
      </c>
    </row>
    <row r="8" spans="1:11" s="5" customFormat="1" ht="60" customHeight="1" thickBot="1" x14ac:dyDescent="0.3">
      <c r="A8" s="179"/>
      <c r="B8" s="179"/>
      <c r="C8" s="179"/>
      <c r="D8" s="179"/>
      <c r="E8" s="179"/>
      <c r="F8" s="179"/>
      <c r="G8" s="179"/>
      <c r="H8" s="25" t="s">
        <v>3</v>
      </c>
      <c r="I8" s="25" t="s">
        <v>24</v>
      </c>
      <c r="J8" s="61" t="s">
        <v>4</v>
      </c>
      <c r="K8" s="179"/>
    </row>
    <row r="9" spans="1:11" s="5" customFormat="1" ht="21.75" customHeight="1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9">
        <v>6</v>
      </c>
      <c r="G9" s="29">
        <v>7</v>
      </c>
      <c r="H9" s="29">
        <v>8</v>
      </c>
      <c r="I9" s="28">
        <v>9</v>
      </c>
      <c r="J9" s="28">
        <v>10</v>
      </c>
      <c r="K9" s="30">
        <v>11</v>
      </c>
    </row>
    <row r="10" spans="1:11" s="5" customFormat="1" ht="29.25" customHeight="1" thickBot="1" x14ac:dyDescent="0.3">
      <c r="A10" s="18" t="s">
        <v>2</v>
      </c>
      <c r="B10" s="19"/>
      <c r="C10" s="19"/>
      <c r="D10" s="19"/>
      <c r="E10" s="19"/>
      <c r="F10" s="20"/>
      <c r="G10" s="20"/>
      <c r="H10" s="21">
        <f>SUM(H11:H395)</f>
        <v>34.539000000000016</v>
      </c>
      <c r="I10" s="21">
        <f>SUM(I11:I395)</f>
        <v>13.177000000000003</v>
      </c>
      <c r="J10" s="21">
        <f>SUM(J11:J395)</f>
        <v>51.708000000000006</v>
      </c>
      <c r="K10" s="22">
        <f>SUM(K11:K395)</f>
        <v>86.246999999999986</v>
      </c>
    </row>
    <row r="11" spans="1:11" s="5" customFormat="1" ht="34.9" customHeight="1" thickBot="1" x14ac:dyDescent="0.3">
      <c r="A11" s="23">
        <v>1</v>
      </c>
      <c r="B11" s="49" t="s">
        <v>1679</v>
      </c>
      <c r="C11" s="15" t="s">
        <v>39</v>
      </c>
      <c r="D11" s="7" t="s">
        <v>130</v>
      </c>
      <c r="E11" s="14" t="s">
        <v>977</v>
      </c>
      <c r="F11" s="13" t="s">
        <v>1051</v>
      </c>
      <c r="G11" s="13">
        <v>4</v>
      </c>
      <c r="H11" s="10">
        <v>0.82299999999999995</v>
      </c>
      <c r="I11" s="10">
        <v>0.82299999999999995</v>
      </c>
      <c r="J11" s="10">
        <v>0</v>
      </c>
      <c r="K11" s="22">
        <f>SUM(J11,H11)</f>
        <v>0.82299999999999995</v>
      </c>
    </row>
    <row r="12" spans="1:11" s="5" customFormat="1" ht="35.450000000000003" customHeight="1" thickBot="1" x14ac:dyDescent="0.3">
      <c r="A12" s="23">
        <v>2</v>
      </c>
      <c r="B12" s="49" t="s">
        <v>1680</v>
      </c>
      <c r="C12" s="15" t="s">
        <v>39</v>
      </c>
      <c r="D12" s="7" t="s">
        <v>131</v>
      </c>
      <c r="E12" s="14" t="s">
        <v>977</v>
      </c>
      <c r="F12" s="13" t="s">
        <v>1051</v>
      </c>
      <c r="G12" s="13">
        <v>4</v>
      </c>
      <c r="H12" s="10">
        <v>0.76</v>
      </c>
      <c r="I12" s="10">
        <v>0.76</v>
      </c>
      <c r="J12" s="10">
        <v>0</v>
      </c>
      <c r="K12" s="22">
        <f t="shared" ref="K12:K98" si="0">SUM(J12,H12)</f>
        <v>0.76</v>
      </c>
    </row>
    <row r="13" spans="1:11" s="5" customFormat="1" ht="37.9" customHeight="1" thickBot="1" x14ac:dyDescent="0.3">
      <c r="A13" s="23">
        <v>3</v>
      </c>
      <c r="B13" s="49" t="s">
        <v>1681</v>
      </c>
      <c r="C13" s="15" t="s">
        <v>39</v>
      </c>
      <c r="D13" s="7" t="s">
        <v>132</v>
      </c>
      <c r="E13" s="14" t="s">
        <v>977</v>
      </c>
      <c r="F13" s="13" t="s">
        <v>1051</v>
      </c>
      <c r="G13" s="13">
        <v>4</v>
      </c>
      <c r="H13" s="10">
        <v>0.77500000000000002</v>
      </c>
      <c r="I13" s="10">
        <v>0.77500000000000002</v>
      </c>
      <c r="J13" s="10">
        <v>0</v>
      </c>
      <c r="K13" s="22">
        <f t="shared" si="0"/>
        <v>0.77500000000000002</v>
      </c>
    </row>
    <row r="14" spans="1:11" s="5" customFormat="1" ht="34.5" customHeight="1" thickBot="1" x14ac:dyDescent="0.3">
      <c r="A14" s="23">
        <v>4</v>
      </c>
      <c r="B14" s="49" t="s">
        <v>1682</v>
      </c>
      <c r="C14" s="15" t="s">
        <v>38</v>
      </c>
      <c r="D14" s="7" t="s">
        <v>194</v>
      </c>
      <c r="E14" s="14" t="s">
        <v>977</v>
      </c>
      <c r="F14" s="13" t="s">
        <v>1051</v>
      </c>
      <c r="G14" s="13">
        <v>4</v>
      </c>
      <c r="H14" s="10">
        <v>0.12</v>
      </c>
      <c r="I14" s="10">
        <v>0.12</v>
      </c>
      <c r="J14" s="10">
        <v>0</v>
      </c>
      <c r="K14" s="22">
        <f t="shared" si="0"/>
        <v>0.12</v>
      </c>
    </row>
    <row r="15" spans="1:11" s="5" customFormat="1" ht="28.9" customHeight="1" thickBot="1" x14ac:dyDescent="0.3">
      <c r="A15" s="23">
        <v>5</v>
      </c>
      <c r="B15" s="49" t="s">
        <v>1683</v>
      </c>
      <c r="C15" s="15" t="s">
        <v>39</v>
      </c>
      <c r="D15" s="7" t="s">
        <v>133</v>
      </c>
      <c r="E15" s="14" t="s">
        <v>977</v>
      </c>
      <c r="F15" s="13" t="s">
        <v>1051</v>
      </c>
      <c r="G15" s="13">
        <v>4</v>
      </c>
      <c r="H15" s="10">
        <v>1.288</v>
      </c>
      <c r="I15" s="10">
        <v>1.288</v>
      </c>
      <c r="J15" s="10">
        <v>0</v>
      </c>
      <c r="K15" s="22">
        <f t="shared" si="0"/>
        <v>1.288</v>
      </c>
    </row>
    <row r="16" spans="1:11" s="5" customFormat="1" ht="30" customHeight="1" thickBot="1" x14ac:dyDescent="0.3">
      <c r="A16" s="23">
        <v>6</v>
      </c>
      <c r="B16" s="49" t="s">
        <v>1684</v>
      </c>
      <c r="C16" s="15" t="s">
        <v>39</v>
      </c>
      <c r="D16" s="7" t="s">
        <v>134</v>
      </c>
      <c r="E16" s="14" t="s">
        <v>977</v>
      </c>
      <c r="F16" s="13" t="s">
        <v>1051</v>
      </c>
      <c r="G16" s="13">
        <v>4</v>
      </c>
      <c r="H16" s="10">
        <v>0.58699999999999997</v>
      </c>
      <c r="I16" s="10">
        <v>0.58699999999999997</v>
      </c>
      <c r="J16" s="10">
        <v>0</v>
      </c>
      <c r="K16" s="22">
        <f t="shared" si="0"/>
        <v>0.58699999999999997</v>
      </c>
    </row>
    <row r="17" spans="1:11" s="5" customFormat="1" ht="31.9" customHeight="1" x14ac:dyDescent="0.25">
      <c r="A17" s="23">
        <v>7</v>
      </c>
      <c r="B17" s="49" t="s">
        <v>1685</v>
      </c>
      <c r="C17" s="15" t="s">
        <v>976</v>
      </c>
      <c r="D17" s="7" t="s">
        <v>135</v>
      </c>
      <c r="E17" s="14" t="s">
        <v>977</v>
      </c>
      <c r="F17" s="13" t="s">
        <v>1051</v>
      </c>
      <c r="G17" s="13">
        <v>4</v>
      </c>
      <c r="H17" s="10">
        <v>0.22700000000000001</v>
      </c>
      <c r="I17" s="10">
        <v>0.22700000000000001</v>
      </c>
      <c r="J17" s="10">
        <v>0</v>
      </c>
      <c r="K17" s="22">
        <f t="shared" si="0"/>
        <v>0.22700000000000001</v>
      </c>
    </row>
    <row r="18" spans="1:11" s="5" customFormat="1" ht="34.15" customHeight="1" x14ac:dyDescent="0.25">
      <c r="A18" s="23">
        <v>8</v>
      </c>
      <c r="B18" s="49" t="s">
        <v>1686</v>
      </c>
      <c r="C18" s="15" t="s">
        <v>38</v>
      </c>
      <c r="D18" s="7" t="s">
        <v>961</v>
      </c>
      <c r="E18" s="14" t="s">
        <v>977</v>
      </c>
      <c r="F18" s="13" t="s">
        <v>1051</v>
      </c>
      <c r="G18" s="13">
        <v>4</v>
      </c>
      <c r="H18" s="10">
        <v>1.0880000000000001</v>
      </c>
      <c r="I18" s="10">
        <v>1.0880000000000001</v>
      </c>
      <c r="J18" s="10">
        <v>0</v>
      </c>
      <c r="K18" s="24">
        <f t="shared" si="0"/>
        <v>1.0880000000000001</v>
      </c>
    </row>
    <row r="19" spans="1:11" s="5" customFormat="1" ht="36" customHeight="1" x14ac:dyDescent="0.25">
      <c r="A19" s="23">
        <v>9</v>
      </c>
      <c r="B19" s="49" t="s">
        <v>1687</v>
      </c>
      <c r="C19" s="15" t="s">
        <v>38</v>
      </c>
      <c r="D19" s="7" t="s">
        <v>962</v>
      </c>
      <c r="E19" s="14" t="s">
        <v>977</v>
      </c>
      <c r="F19" s="13" t="s">
        <v>1051</v>
      </c>
      <c r="G19" s="13">
        <v>6</v>
      </c>
      <c r="H19" s="10">
        <v>0.26200000000000001</v>
      </c>
      <c r="I19" s="10">
        <v>0.26200000000000001</v>
      </c>
      <c r="J19" s="10">
        <v>0</v>
      </c>
      <c r="K19" s="24">
        <f t="shared" si="0"/>
        <v>0.26200000000000001</v>
      </c>
    </row>
    <row r="20" spans="1:11" s="5" customFormat="1" ht="32.450000000000003" customHeight="1" x14ac:dyDescent="0.25">
      <c r="A20" s="23">
        <v>10</v>
      </c>
      <c r="B20" s="49" t="s">
        <v>1688</v>
      </c>
      <c r="C20" s="15" t="s">
        <v>39</v>
      </c>
      <c r="D20" s="7" t="s">
        <v>136</v>
      </c>
      <c r="E20" s="14" t="s">
        <v>977</v>
      </c>
      <c r="F20" s="13" t="s">
        <v>1051</v>
      </c>
      <c r="G20" s="13">
        <v>4</v>
      </c>
      <c r="H20" s="10">
        <v>0.83299999999999996</v>
      </c>
      <c r="I20" s="10">
        <v>0.83299999999999996</v>
      </c>
      <c r="J20" s="10">
        <v>0</v>
      </c>
      <c r="K20" s="24">
        <f t="shared" si="0"/>
        <v>0.83299999999999996</v>
      </c>
    </row>
    <row r="21" spans="1:11" s="5" customFormat="1" ht="36.6" customHeight="1" x14ac:dyDescent="0.25">
      <c r="A21" s="23">
        <v>11</v>
      </c>
      <c r="B21" s="49" t="s">
        <v>1689</v>
      </c>
      <c r="C21" s="15" t="s">
        <v>39</v>
      </c>
      <c r="D21" s="7" t="s">
        <v>137</v>
      </c>
      <c r="E21" s="14" t="s">
        <v>977</v>
      </c>
      <c r="F21" s="13" t="s">
        <v>1051</v>
      </c>
      <c r="G21" s="13">
        <v>3.5</v>
      </c>
      <c r="H21" s="10">
        <v>1.8740000000000001</v>
      </c>
      <c r="I21" s="10">
        <v>0.76200000000000001</v>
      </c>
      <c r="J21" s="10">
        <v>0.107</v>
      </c>
      <c r="K21" s="24">
        <f t="shared" si="0"/>
        <v>1.9810000000000001</v>
      </c>
    </row>
    <row r="22" spans="1:11" s="5" customFormat="1" ht="30.6" customHeight="1" x14ac:dyDescent="0.25">
      <c r="A22" s="23">
        <v>12</v>
      </c>
      <c r="B22" s="49" t="s">
        <v>1690</v>
      </c>
      <c r="C22" s="15" t="s">
        <v>39</v>
      </c>
      <c r="D22" s="7" t="s">
        <v>138</v>
      </c>
      <c r="E22" s="14" t="s">
        <v>977</v>
      </c>
      <c r="F22" s="13" t="s">
        <v>1051</v>
      </c>
      <c r="G22" s="13">
        <v>4</v>
      </c>
      <c r="H22" s="10">
        <v>0.52300000000000002</v>
      </c>
      <c r="I22" s="10">
        <v>0.52300000000000002</v>
      </c>
      <c r="J22" s="10">
        <v>0</v>
      </c>
      <c r="K22" s="24">
        <f t="shared" si="0"/>
        <v>0.52300000000000002</v>
      </c>
    </row>
    <row r="23" spans="1:11" s="5" customFormat="1" ht="33.6" customHeight="1" x14ac:dyDescent="0.25">
      <c r="A23" s="23">
        <v>13</v>
      </c>
      <c r="B23" s="49" t="s">
        <v>1691</v>
      </c>
      <c r="C23" s="15" t="s">
        <v>39</v>
      </c>
      <c r="D23" s="7" t="s">
        <v>139</v>
      </c>
      <c r="E23" s="14" t="s">
        <v>977</v>
      </c>
      <c r="F23" s="13" t="s">
        <v>1051</v>
      </c>
      <c r="G23" s="13">
        <v>4</v>
      </c>
      <c r="H23" s="10">
        <v>1.38</v>
      </c>
      <c r="I23" s="10">
        <v>1.38</v>
      </c>
      <c r="J23" s="10">
        <v>0</v>
      </c>
      <c r="K23" s="24">
        <f t="shared" si="0"/>
        <v>1.38</v>
      </c>
    </row>
    <row r="24" spans="1:11" s="5" customFormat="1" ht="33" customHeight="1" x14ac:dyDescent="0.25">
      <c r="A24" s="23">
        <v>14</v>
      </c>
      <c r="B24" s="49" t="s">
        <v>1692</v>
      </c>
      <c r="C24" s="15" t="s">
        <v>39</v>
      </c>
      <c r="D24" s="7" t="s">
        <v>140</v>
      </c>
      <c r="E24" s="14" t="s">
        <v>977</v>
      </c>
      <c r="F24" s="13" t="s">
        <v>1051</v>
      </c>
      <c r="G24" s="13">
        <v>3.5</v>
      </c>
      <c r="H24" s="10">
        <v>0.90900000000000003</v>
      </c>
      <c r="I24" s="10">
        <v>0.66300000000000003</v>
      </c>
      <c r="J24" s="10">
        <v>0</v>
      </c>
      <c r="K24" s="24">
        <f t="shared" si="0"/>
        <v>0.90900000000000003</v>
      </c>
    </row>
    <row r="25" spans="1:11" s="5" customFormat="1" ht="35.25" customHeight="1" x14ac:dyDescent="0.25">
      <c r="A25" s="23">
        <v>15</v>
      </c>
      <c r="B25" s="49" t="s">
        <v>1693</v>
      </c>
      <c r="C25" s="15" t="s">
        <v>38</v>
      </c>
      <c r="D25" s="57" t="s">
        <v>964</v>
      </c>
      <c r="E25" s="14" t="s">
        <v>977</v>
      </c>
      <c r="F25" s="13" t="s">
        <v>1051</v>
      </c>
      <c r="G25" s="13">
        <v>3.5</v>
      </c>
      <c r="H25" s="10">
        <v>0.42399999999999999</v>
      </c>
      <c r="I25" s="10">
        <v>0</v>
      </c>
      <c r="J25" s="10">
        <v>0</v>
      </c>
      <c r="K25" s="24">
        <f t="shared" si="0"/>
        <v>0.42399999999999999</v>
      </c>
    </row>
    <row r="26" spans="1:11" s="5" customFormat="1" ht="48" customHeight="1" x14ac:dyDescent="0.25">
      <c r="A26" s="23">
        <v>16</v>
      </c>
      <c r="B26" s="49" t="s">
        <v>1694</v>
      </c>
      <c r="C26" s="15" t="s">
        <v>38</v>
      </c>
      <c r="D26" s="7" t="s">
        <v>978</v>
      </c>
      <c r="E26" s="14" t="s">
        <v>977</v>
      </c>
      <c r="F26" s="13" t="s">
        <v>1051</v>
      </c>
      <c r="G26" s="13">
        <v>3.5</v>
      </c>
      <c r="H26" s="10">
        <v>0</v>
      </c>
      <c r="I26" s="10">
        <v>0</v>
      </c>
      <c r="J26" s="10">
        <v>0.16700000000000001</v>
      </c>
      <c r="K26" s="24">
        <f t="shared" si="0"/>
        <v>0.16700000000000001</v>
      </c>
    </row>
    <row r="27" spans="1:11" s="5" customFormat="1" ht="32.450000000000003" customHeight="1" x14ac:dyDescent="0.25">
      <c r="A27" s="23">
        <v>17</v>
      </c>
      <c r="B27" s="49" t="s">
        <v>1695</v>
      </c>
      <c r="C27" s="15" t="s">
        <v>39</v>
      </c>
      <c r="D27" s="7" t="s">
        <v>141</v>
      </c>
      <c r="E27" s="14" t="s">
        <v>977</v>
      </c>
      <c r="F27" s="13" t="s">
        <v>1051</v>
      </c>
      <c r="G27" s="13">
        <v>4</v>
      </c>
      <c r="H27" s="10">
        <v>1.3540000000000001</v>
      </c>
      <c r="I27" s="10">
        <v>0</v>
      </c>
      <c r="J27" s="10">
        <v>0</v>
      </c>
      <c r="K27" s="24">
        <f t="shared" si="0"/>
        <v>1.3540000000000001</v>
      </c>
    </row>
    <row r="28" spans="1:11" s="5" customFormat="1" ht="31.15" customHeight="1" x14ac:dyDescent="0.25">
      <c r="A28" s="23">
        <v>18</v>
      </c>
      <c r="B28" s="49" t="s">
        <v>1696</v>
      </c>
      <c r="C28" s="15" t="s">
        <v>39</v>
      </c>
      <c r="D28" s="7" t="s">
        <v>142</v>
      </c>
      <c r="E28" s="14" t="s">
        <v>977</v>
      </c>
      <c r="F28" s="13" t="s">
        <v>1051</v>
      </c>
      <c r="G28" s="13">
        <v>4</v>
      </c>
      <c r="H28" s="10">
        <v>0.81699999999999995</v>
      </c>
      <c r="I28" s="10">
        <v>0.81699999999999995</v>
      </c>
      <c r="J28" s="10">
        <v>0</v>
      </c>
      <c r="K28" s="24">
        <f t="shared" si="0"/>
        <v>0.81699999999999995</v>
      </c>
    </row>
    <row r="29" spans="1:11" s="5" customFormat="1" ht="31.9" customHeight="1" x14ac:dyDescent="0.25">
      <c r="A29" s="23">
        <v>19</v>
      </c>
      <c r="B29" s="49" t="s">
        <v>1697</v>
      </c>
      <c r="C29" s="15" t="s">
        <v>39</v>
      </c>
      <c r="D29" s="7" t="s">
        <v>143</v>
      </c>
      <c r="E29" s="14" t="s">
        <v>977</v>
      </c>
      <c r="F29" s="13" t="s">
        <v>1051</v>
      </c>
      <c r="G29" s="13">
        <v>4</v>
      </c>
      <c r="H29" s="10">
        <v>1.153</v>
      </c>
      <c r="I29" s="10">
        <v>1.153</v>
      </c>
      <c r="J29" s="10">
        <v>0</v>
      </c>
      <c r="K29" s="24">
        <f t="shared" si="0"/>
        <v>1.153</v>
      </c>
    </row>
    <row r="30" spans="1:11" s="5" customFormat="1" ht="31.15" customHeight="1" x14ac:dyDescent="0.25">
      <c r="A30" s="23">
        <v>20</v>
      </c>
      <c r="B30" s="49" t="s">
        <v>1698</v>
      </c>
      <c r="C30" s="15" t="s">
        <v>39</v>
      </c>
      <c r="D30" s="7" t="s">
        <v>144</v>
      </c>
      <c r="E30" s="14" t="s">
        <v>977</v>
      </c>
      <c r="F30" s="13" t="s">
        <v>1051</v>
      </c>
      <c r="G30" s="13">
        <v>4</v>
      </c>
      <c r="H30" s="10">
        <v>0</v>
      </c>
      <c r="I30" s="10">
        <v>0</v>
      </c>
      <c r="J30" s="10">
        <v>0.59699999999999998</v>
      </c>
      <c r="K30" s="24">
        <f t="shared" si="0"/>
        <v>0.59699999999999998</v>
      </c>
    </row>
    <row r="31" spans="1:11" s="5" customFormat="1" ht="28.9" customHeight="1" x14ac:dyDescent="0.25">
      <c r="A31" s="23">
        <v>21</v>
      </c>
      <c r="B31" s="49" t="s">
        <v>1699</v>
      </c>
      <c r="C31" s="15" t="s">
        <v>39</v>
      </c>
      <c r="D31" s="7" t="s">
        <v>145</v>
      </c>
      <c r="E31" s="14" t="s">
        <v>977</v>
      </c>
      <c r="F31" s="13" t="s">
        <v>1051</v>
      </c>
      <c r="G31" s="13">
        <v>4</v>
      </c>
      <c r="H31" s="10">
        <v>0.39</v>
      </c>
      <c r="I31" s="10">
        <v>0</v>
      </c>
      <c r="J31" s="10">
        <v>0</v>
      </c>
      <c r="K31" s="24">
        <f t="shared" si="0"/>
        <v>0.39</v>
      </c>
    </row>
    <row r="32" spans="1:11" s="5" customFormat="1" ht="34.5" customHeight="1" x14ac:dyDescent="0.25">
      <c r="A32" s="23">
        <v>22</v>
      </c>
      <c r="B32" s="49" t="s">
        <v>1700</v>
      </c>
      <c r="C32" s="15" t="s">
        <v>38</v>
      </c>
      <c r="D32" s="7" t="s">
        <v>971</v>
      </c>
      <c r="E32" s="14" t="s">
        <v>977</v>
      </c>
      <c r="F32" s="13" t="s">
        <v>1051</v>
      </c>
      <c r="G32" s="13">
        <v>4</v>
      </c>
      <c r="H32" s="10">
        <v>0.377</v>
      </c>
      <c r="I32" s="10">
        <v>0</v>
      </c>
      <c r="J32" s="10">
        <v>0</v>
      </c>
      <c r="K32" s="24">
        <f t="shared" si="0"/>
        <v>0.377</v>
      </c>
    </row>
    <row r="33" spans="1:11" s="5" customFormat="1" ht="41.25" customHeight="1" x14ac:dyDescent="0.25">
      <c r="A33" s="23">
        <v>23</v>
      </c>
      <c r="B33" s="49" t="s">
        <v>1701</v>
      </c>
      <c r="C33" s="15" t="s">
        <v>38</v>
      </c>
      <c r="D33" s="7" t="s">
        <v>1617</v>
      </c>
      <c r="E33" s="14" t="s">
        <v>977</v>
      </c>
      <c r="F33" s="13" t="s">
        <v>1051</v>
      </c>
      <c r="G33" s="13">
        <v>4</v>
      </c>
      <c r="H33" s="10">
        <v>0.34699999999999998</v>
      </c>
      <c r="I33" s="10">
        <v>0</v>
      </c>
      <c r="J33" s="10">
        <v>0</v>
      </c>
      <c r="K33" s="24">
        <f t="shared" si="0"/>
        <v>0.34699999999999998</v>
      </c>
    </row>
    <row r="34" spans="1:11" s="5" customFormat="1" ht="50.45" customHeight="1" x14ac:dyDescent="0.25">
      <c r="A34" s="23">
        <v>24</v>
      </c>
      <c r="B34" s="49" t="s">
        <v>1702</v>
      </c>
      <c r="C34" s="15" t="s">
        <v>38</v>
      </c>
      <c r="D34" s="7" t="s">
        <v>963</v>
      </c>
      <c r="E34" s="14" t="s">
        <v>977</v>
      </c>
      <c r="F34" s="13" t="s">
        <v>1051</v>
      </c>
      <c r="G34" s="13">
        <v>3.5</v>
      </c>
      <c r="H34" s="10">
        <v>1.125</v>
      </c>
      <c r="I34" s="10">
        <v>0</v>
      </c>
      <c r="J34" s="10">
        <v>0</v>
      </c>
      <c r="K34" s="24">
        <f t="shared" si="0"/>
        <v>1.125</v>
      </c>
    </row>
    <row r="35" spans="1:11" s="5" customFormat="1" ht="25.9" customHeight="1" x14ac:dyDescent="0.25">
      <c r="A35" s="23">
        <v>25</v>
      </c>
      <c r="B35" s="49" t="s">
        <v>1703</v>
      </c>
      <c r="C35" s="15" t="s">
        <v>38</v>
      </c>
      <c r="D35" s="7" t="s">
        <v>146</v>
      </c>
      <c r="E35" s="14" t="s">
        <v>977</v>
      </c>
      <c r="F35" s="13" t="s">
        <v>1051</v>
      </c>
      <c r="G35" s="13">
        <v>3.5</v>
      </c>
      <c r="H35" s="10">
        <v>0</v>
      </c>
      <c r="I35" s="10">
        <v>0</v>
      </c>
      <c r="J35" s="10">
        <v>0.26400000000000001</v>
      </c>
      <c r="K35" s="24">
        <f t="shared" si="0"/>
        <v>0.26400000000000001</v>
      </c>
    </row>
    <row r="36" spans="1:11" s="5" customFormat="1" ht="33.75" customHeight="1" x14ac:dyDescent="0.25">
      <c r="A36" s="23">
        <v>26</v>
      </c>
      <c r="B36" s="49" t="s">
        <v>1704</v>
      </c>
      <c r="C36" s="15" t="s">
        <v>38</v>
      </c>
      <c r="D36" s="7" t="s">
        <v>147</v>
      </c>
      <c r="E36" s="14" t="s">
        <v>977</v>
      </c>
      <c r="F36" s="13" t="s">
        <v>1051</v>
      </c>
      <c r="G36" s="13">
        <v>3.5</v>
      </c>
      <c r="H36" s="10">
        <v>0</v>
      </c>
      <c r="I36" s="10">
        <v>0</v>
      </c>
      <c r="J36" s="10">
        <v>0.80100000000000005</v>
      </c>
      <c r="K36" s="24">
        <f t="shared" si="0"/>
        <v>0.80100000000000005</v>
      </c>
    </row>
    <row r="37" spans="1:11" s="5" customFormat="1" ht="39.75" customHeight="1" x14ac:dyDescent="0.25">
      <c r="A37" s="23">
        <v>27</v>
      </c>
      <c r="B37" s="49" t="s">
        <v>1705</v>
      </c>
      <c r="C37" s="15" t="s">
        <v>38</v>
      </c>
      <c r="D37" s="7" t="s">
        <v>965</v>
      </c>
      <c r="E37" s="14" t="s">
        <v>977</v>
      </c>
      <c r="F37" s="13" t="s">
        <v>1051</v>
      </c>
      <c r="G37" s="13">
        <v>3.5</v>
      </c>
      <c r="H37" s="10">
        <v>0</v>
      </c>
      <c r="I37" s="10">
        <v>0</v>
      </c>
      <c r="J37" s="10">
        <v>0.76800000000000002</v>
      </c>
      <c r="K37" s="24">
        <f t="shared" si="0"/>
        <v>0.76800000000000002</v>
      </c>
    </row>
    <row r="38" spans="1:11" s="5" customFormat="1" ht="28.9" customHeight="1" x14ac:dyDescent="0.25">
      <c r="A38" s="23">
        <v>28</v>
      </c>
      <c r="B38" s="49" t="s">
        <v>1706</v>
      </c>
      <c r="C38" s="15" t="s">
        <v>39</v>
      </c>
      <c r="D38" s="7" t="s">
        <v>148</v>
      </c>
      <c r="E38" s="14" t="s">
        <v>977</v>
      </c>
      <c r="F38" s="13" t="s">
        <v>1051</v>
      </c>
      <c r="G38" s="13">
        <v>3.5</v>
      </c>
      <c r="H38" s="10">
        <v>0.46800000000000003</v>
      </c>
      <c r="I38" s="10">
        <v>0.25800000000000001</v>
      </c>
      <c r="J38" s="10">
        <v>0</v>
      </c>
      <c r="K38" s="24">
        <f t="shared" si="0"/>
        <v>0.46800000000000003</v>
      </c>
    </row>
    <row r="39" spans="1:11" s="5" customFormat="1" ht="33.6" customHeight="1" x14ac:dyDescent="0.25">
      <c r="A39" s="23">
        <v>29</v>
      </c>
      <c r="B39" s="49" t="s">
        <v>1707</v>
      </c>
      <c r="C39" s="15" t="s">
        <v>38</v>
      </c>
      <c r="D39" s="7" t="s">
        <v>966</v>
      </c>
      <c r="E39" s="14" t="s">
        <v>977</v>
      </c>
      <c r="F39" s="13" t="s">
        <v>1051</v>
      </c>
      <c r="G39" s="13">
        <v>3.5</v>
      </c>
      <c r="H39" s="10">
        <v>0</v>
      </c>
      <c r="I39" s="10">
        <v>0</v>
      </c>
      <c r="J39" s="10">
        <v>0.34399999999999997</v>
      </c>
      <c r="K39" s="24">
        <f t="shared" si="0"/>
        <v>0.34399999999999997</v>
      </c>
    </row>
    <row r="40" spans="1:11" s="5" customFormat="1" ht="32.25" customHeight="1" x14ac:dyDescent="0.25">
      <c r="A40" s="23">
        <v>30</v>
      </c>
      <c r="B40" s="49" t="s">
        <v>1708</v>
      </c>
      <c r="C40" s="15" t="s">
        <v>38</v>
      </c>
      <c r="D40" s="7" t="s">
        <v>149</v>
      </c>
      <c r="E40" s="14" t="s">
        <v>977</v>
      </c>
      <c r="F40" s="13" t="s">
        <v>1051</v>
      </c>
      <c r="G40" s="13">
        <v>3.5</v>
      </c>
      <c r="H40" s="10">
        <v>0.82499999999999996</v>
      </c>
      <c r="I40" s="10">
        <v>0</v>
      </c>
      <c r="J40" s="10">
        <v>0</v>
      </c>
      <c r="K40" s="24">
        <f t="shared" si="0"/>
        <v>0.82499999999999996</v>
      </c>
    </row>
    <row r="41" spans="1:11" s="5" customFormat="1" ht="34.5" customHeight="1" x14ac:dyDescent="0.25">
      <c r="A41" s="23">
        <v>31</v>
      </c>
      <c r="B41" s="49" t="s">
        <v>1709</v>
      </c>
      <c r="C41" s="15" t="s">
        <v>38</v>
      </c>
      <c r="D41" s="7" t="s">
        <v>967</v>
      </c>
      <c r="E41" s="14" t="s">
        <v>977</v>
      </c>
      <c r="F41" s="13" t="s">
        <v>1051</v>
      </c>
      <c r="G41" s="13">
        <v>3.5</v>
      </c>
      <c r="H41" s="10">
        <v>0</v>
      </c>
      <c r="I41" s="10">
        <v>0</v>
      </c>
      <c r="J41" s="10">
        <v>0.20499999999999999</v>
      </c>
      <c r="K41" s="24">
        <f t="shared" si="0"/>
        <v>0.20499999999999999</v>
      </c>
    </row>
    <row r="42" spans="1:11" s="5" customFormat="1" ht="27" customHeight="1" x14ac:dyDescent="0.25">
      <c r="A42" s="23">
        <v>32</v>
      </c>
      <c r="B42" s="49" t="s">
        <v>1710</v>
      </c>
      <c r="C42" s="15" t="s">
        <v>38</v>
      </c>
      <c r="D42" s="7" t="s">
        <v>3342</v>
      </c>
      <c r="E42" s="14" t="s">
        <v>977</v>
      </c>
      <c r="F42" s="13" t="s">
        <v>1051</v>
      </c>
      <c r="G42" s="13">
        <v>3.5</v>
      </c>
      <c r="H42" s="10">
        <v>0.33700000000000002</v>
      </c>
      <c r="I42" s="10">
        <v>0</v>
      </c>
      <c r="J42" s="10">
        <v>0</v>
      </c>
      <c r="K42" s="24">
        <f t="shared" si="0"/>
        <v>0.33700000000000002</v>
      </c>
    </row>
    <row r="43" spans="1:11" s="5" customFormat="1" ht="28.9" customHeight="1" x14ac:dyDescent="0.25">
      <c r="A43" s="23">
        <v>33</v>
      </c>
      <c r="B43" s="49" t="s">
        <v>1711</v>
      </c>
      <c r="C43" s="15" t="s">
        <v>39</v>
      </c>
      <c r="D43" s="7" t="s">
        <v>150</v>
      </c>
      <c r="E43" s="14" t="s">
        <v>977</v>
      </c>
      <c r="F43" s="13" t="s">
        <v>1051</v>
      </c>
      <c r="G43" s="13">
        <v>4</v>
      </c>
      <c r="H43" s="10">
        <v>0.76</v>
      </c>
      <c r="I43" s="10">
        <v>0</v>
      </c>
      <c r="J43" s="10">
        <v>0</v>
      </c>
      <c r="K43" s="24">
        <f t="shared" si="0"/>
        <v>0.76</v>
      </c>
    </row>
    <row r="44" spans="1:11" s="5" customFormat="1" ht="40.5" customHeight="1" x14ac:dyDescent="0.25">
      <c r="A44" s="23">
        <v>34</v>
      </c>
      <c r="B44" s="49" t="s">
        <v>1712</v>
      </c>
      <c r="C44" s="15" t="s">
        <v>39</v>
      </c>
      <c r="D44" s="7" t="s">
        <v>3289</v>
      </c>
      <c r="E44" s="14" t="s">
        <v>977</v>
      </c>
      <c r="F44" s="13" t="s">
        <v>1051</v>
      </c>
      <c r="G44" s="13">
        <v>4</v>
      </c>
      <c r="H44" s="10">
        <v>0.76400000000000001</v>
      </c>
      <c r="I44" s="10">
        <v>0</v>
      </c>
      <c r="J44" s="10">
        <v>0.30599999999999999</v>
      </c>
      <c r="K44" s="24">
        <f t="shared" si="0"/>
        <v>1.07</v>
      </c>
    </row>
    <row r="45" spans="1:11" s="5" customFormat="1" ht="34.5" customHeight="1" x14ac:dyDescent="0.25">
      <c r="A45" s="23">
        <v>35</v>
      </c>
      <c r="B45" s="49" t="s">
        <v>1713</v>
      </c>
      <c r="C45" s="15" t="s">
        <v>39</v>
      </c>
      <c r="D45" s="7" t="s">
        <v>151</v>
      </c>
      <c r="E45" s="14" t="s">
        <v>977</v>
      </c>
      <c r="F45" s="13" t="s">
        <v>1051</v>
      </c>
      <c r="G45" s="13">
        <v>3.5</v>
      </c>
      <c r="H45" s="10">
        <v>0</v>
      </c>
      <c r="I45" s="10">
        <v>0</v>
      </c>
      <c r="J45" s="10">
        <v>1.99</v>
      </c>
      <c r="K45" s="24">
        <f t="shared" si="0"/>
        <v>1.99</v>
      </c>
    </row>
    <row r="46" spans="1:11" s="5" customFormat="1" ht="35.450000000000003" customHeight="1" x14ac:dyDescent="0.25">
      <c r="A46" s="23">
        <v>36</v>
      </c>
      <c r="B46" s="49" t="s">
        <v>1714</v>
      </c>
      <c r="C46" s="15" t="s">
        <v>39</v>
      </c>
      <c r="D46" s="7" t="s">
        <v>152</v>
      </c>
      <c r="E46" s="14" t="s">
        <v>977</v>
      </c>
      <c r="F46" s="13" t="s">
        <v>1051</v>
      </c>
      <c r="G46" s="13">
        <v>3.5</v>
      </c>
      <c r="H46" s="10">
        <v>0</v>
      </c>
      <c r="I46" s="10">
        <v>0</v>
      </c>
      <c r="J46" s="10">
        <v>0.29199999999999998</v>
      </c>
      <c r="K46" s="24">
        <f t="shared" si="0"/>
        <v>0.29199999999999998</v>
      </c>
    </row>
    <row r="47" spans="1:11" s="5" customFormat="1" ht="33" customHeight="1" x14ac:dyDescent="0.25">
      <c r="A47" s="23">
        <v>37</v>
      </c>
      <c r="B47" s="49" t="s">
        <v>1715</v>
      </c>
      <c r="C47" s="15" t="s">
        <v>39</v>
      </c>
      <c r="D47" s="7" t="s">
        <v>153</v>
      </c>
      <c r="E47" s="14" t="s">
        <v>977</v>
      </c>
      <c r="F47" s="13" t="s">
        <v>1051</v>
      </c>
      <c r="G47" s="13">
        <v>3.5</v>
      </c>
      <c r="H47" s="10">
        <v>0</v>
      </c>
      <c r="I47" s="10">
        <v>0</v>
      </c>
      <c r="J47" s="10">
        <v>0.51600000000000001</v>
      </c>
      <c r="K47" s="24">
        <f t="shared" si="0"/>
        <v>0.51600000000000001</v>
      </c>
    </row>
    <row r="48" spans="1:11" s="5" customFormat="1" ht="30.6" customHeight="1" x14ac:dyDescent="0.25">
      <c r="A48" s="23">
        <v>38</v>
      </c>
      <c r="B48" s="49" t="s">
        <v>1716</v>
      </c>
      <c r="C48" s="15" t="s">
        <v>39</v>
      </c>
      <c r="D48" s="7" t="s">
        <v>154</v>
      </c>
      <c r="E48" s="14" t="s">
        <v>977</v>
      </c>
      <c r="F48" s="13" t="s">
        <v>1051</v>
      </c>
      <c r="G48" s="13">
        <v>3.5</v>
      </c>
      <c r="H48" s="10">
        <v>0</v>
      </c>
      <c r="I48" s="10">
        <v>0</v>
      </c>
      <c r="J48" s="10">
        <v>1.7390000000000001</v>
      </c>
      <c r="K48" s="24">
        <f t="shared" si="0"/>
        <v>1.7390000000000001</v>
      </c>
    </row>
    <row r="49" spans="1:11" s="5" customFormat="1" ht="32.450000000000003" customHeight="1" x14ac:dyDescent="0.25">
      <c r="A49" s="23">
        <v>39</v>
      </c>
      <c r="B49" s="49" t="s">
        <v>1717</v>
      </c>
      <c r="C49" s="15" t="s">
        <v>39</v>
      </c>
      <c r="D49" s="7" t="s">
        <v>155</v>
      </c>
      <c r="E49" s="14" t="s">
        <v>977</v>
      </c>
      <c r="F49" s="13" t="s">
        <v>1051</v>
      </c>
      <c r="G49" s="13">
        <v>3.5</v>
      </c>
      <c r="H49" s="10">
        <v>0.70499999999999996</v>
      </c>
      <c r="I49" s="10">
        <v>0</v>
      </c>
      <c r="J49" s="10">
        <v>0</v>
      </c>
      <c r="K49" s="24">
        <f t="shared" si="0"/>
        <v>0.70499999999999996</v>
      </c>
    </row>
    <row r="50" spans="1:11" s="5" customFormat="1" ht="30.6" customHeight="1" x14ac:dyDescent="0.25">
      <c r="A50" s="23">
        <v>40</v>
      </c>
      <c r="B50" s="49" t="s">
        <v>1718</v>
      </c>
      <c r="C50" s="15" t="s">
        <v>976</v>
      </c>
      <c r="D50" s="7" t="s">
        <v>156</v>
      </c>
      <c r="E50" s="14" t="s">
        <v>977</v>
      </c>
      <c r="F50" s="13" t="s">
        <v>1051</v>
      </c>
      <c r="G50" s="13">
        <v>3.5</v>
      </c>
      <c r="H50" s="10">
        <v>0.188</v>
      </c>
      <c r="I50" s="10">
        <v>0</v>
      </c>
      <c r="J50" s="10">
        <v>0</v>
      </c>
      <c r="K50" s="24">
        <f t="shared" si="0"/>
        <v>0.188</v>
      </c>
    </row>
    <row r="51" spans="1:11" s="5" customFormat="1" ht="30.6" customHeight="1" x14ac:dyDescent="0.25">
      <c r="A51" s="23">
        <v>41</v>
      </c>
      <c r="B51" s="49" t="s">
        <v>1719</v>
      </c>
      <c r="C51" s="15" t="s">
        <v>39</v>
      </c>
      <c r="D51" s="7" t="s">
        <v>157</v>
      </c>
      <c r="E51" s="14" t="s">
        <v>977</v>
      </c>
      <c r="F51" s="13" t="s">
        <v>1051</v>
      </c>
      <c r="G51" s="13">
        <v>4</v>
      </c>
      <c r="H51" s="10">
        <v>0.55400000000000005</v>
      </c>
      <c r="I51" s="10">
        <v>0</v>
      </c>
      <c r="J51" s="10">
        <v>0</v>
      </c>
      <c r="K51" s="24">
        <f t="shared" si="0"/>
        <v>0.55400000000000005</v>
      </c>
    </row>
    <row r="52" spans="1:11" s="5" customFormat="1" ht="30" customHeight="1" x14ac:dyDescent="0.25">
      <c r="A52" s="23">
        <v>42</v>
      </c>
      <c r="B52" s="49" t="s">
        <v>1720</v>
      </c>
      <c r="C52" s="15" t="s">
        <v>39</v>
      </c>
      <c r="D52" s="7" t="s">
        <v>158</v>
      </c>
      <c r="E52" s="14" t="s">
        <v>977</v>
      </c>
      <c r="F52" s="13" t="s">
        <v>1051</v>
      </c>
      <c r="G52" s="13">
        <v>3.5</v>
      </c>
      <c r="H52" s="10">
        <v>0.61399999999999999</v>
      </c>
      <c r="I52" s="10">
        <v>0</v>
      </c>
      <c r="J52" s="10">
        <v>0</v>
      </c>
      <c r="K52" s="24">
        <f t="shared" si="0"/>
        <v>0.61399999999999999</v>
      </c>
    </row>
    <row r="53" spans="1:11" s="5" customFormat="1" ht="33" customHeight="1" x14ac:dyDescent="0.25">
      <c r="A53" s="23">
        <v>43</v>
      </c>
      <c r="B53" s="49" t="s">
        <v>1721</v>
      </c>
      <c r="C53" s="15" t="s">
        <v>39</v>
      </c>
      <c r="D53" s="7" t="s">
        <v>159</v>
      </c>
      <c r="E53" s="14" t="s">
        <v>977</v>
      </c>
      <c r="F53" s="13" t="s">
        <v>1051</v>
      </c>
      <c r="G53" s="13">
        <v>3.5</v>
      </c>
      <c r="H53" s="10">
        <v>0.34100000000000003</v>
      </c>
      <c r="I53" s="10">
        <v>0</v>
      </c>
      <c r="J53" s="10">
        <v>0</v>
      </c>
      <c r="K53" s="24">
        <f t="shared" si="0"/>
        <v>0.34100000000000003</v>
      </c>
    </row>
    <row r="54" spans="1:11" s="5" customFormat="1" ht="24" customHeight="1" x14ac:dyDescent="0.25">
      <c r="A54" s="23">
        <v>44</v>
      </c>
      <c r="B54" s="49" t="s">
        <v>1722</v>
      </c>
      <c r="C54" s="15" t="s">
        <v>39</v>
      </c>
      <c r="D54" s="7" t="s">
        <v>160</v>
      </c>
      <c r="E54" s="14" t="s">
        <v>977</v>
      </c>
      <c r="F54" s="13" t="s">
        <v>1051</v>
      </c>
      <c r="G54" s="13">
        <v>3.5</v>
      </c>
      <c r="H54" s="10">
        <v>0.218</v>
      </c>
      <c r="I54" s="10">
        <v>0</v>
      </c>
      <c r="J54" s="10">
        <v>0</v>
      </c>
      <c r="K54" s="24">
        <f t="shared" si="0"/>
        <v>0.218</v>
      </c>
    </row>
    <row r="55" spans="1:11" s="5" customFormat="1" ht="28.9" customHeight="1" x14ac:dyDescent="0.25">
      <c r="A55" s="23">
        <v>45</v>
      </c>
      <c r="B55" s="49" t="s">
        <v>1723</v>
      </c>
      <c r="C55" s="15" t="s">
        <v>39</v>
      </c>
      <c r="D55" s="7" t="s">
        <v>161</v>
      </c>
      <c r="E55" s="14" t="s">
        <v>977</v>
      </c>
      <c r="F55" s="13" t="s">
        <v>1051</v>
      </c>
      <c r="G55" s="13">
        <v>3</v>
      </c>
      <c r="H55" s="10">
        <v>0.39300000000000002</v>
      </c>
      <c r="I55" s="10">
        <v>0</v>
      </c>
      <c r="J55" s="10">
        <v>0</v>
      </c>
      <c r="K55" s="24">
        <f t="shared" si="0"/>
        <v>0.39300000000000002</v>
      </c>
    </row>
    <row r="56" spans="1:11" s="5" customFormat="1" ht="33" customHeight="1" x14ac:dyDescent="0.25">
      <c r="A56" s="23">
        <v>46</v>
      </c>
      <c r="B56" s="49" t="s">
        <v>1724</v>
      </c>
      <c r="C56" s="15" t="s">
        <v>976</v>
      </c>
      <c r="D56" s="7" t="s">
        <v>162</v>
      </c>
      <c r="E56" s="14" t="s">
        <v>977</v>
      </c>
      <c r="F56" s="13" t="s">
        <v>1051</v>
      </c>
      <c r="G56" s="13">
        <v>3.5</v>
      </c>
      <c r="H56" s="10">
        <v>0.22800000000000001</v>
      </c>
      <c r="I56" s="10">
        <v>0</v>
      </c>
      <c r="J56" s="10">
        <v>0</v>
      </c>
      <c r="K56" s="24">
        <f t="shared" si="0"/>
        <v>0.22800000000000001</v>
      </c>
    </row>
    <row r="57" spans="1:11" s="5" customFormat="1" ht="32.450000000000003" customHeight="1" x14ac:dyDescent="0.25">
      <c r="A57" s="23">
        <v>47</v>
      </c>
      <c r="B57" s="49" t="s">
        <v>1725</v>
      </c>
      <c r="C57" s="15" t="s">
        <v>976</v>
      </c>
      <c r="D57" s="7" t="s">
        <v>163</v>
      </c>
      <c r="E57" s="14" t="s">
        <v>977</v>
      </c>
      <c r="F57" s="13" t="s">
        <v>1051</v>
      </c>
      <c r="G57" s="13">
        <v>3</v>
      </c>
      <c r="H57" s="10">
        <v>0.28599999999999998</v>
      </c>
      <c r="I57" s="10">
        <v>0</v>
      </c>
      <c r="J57" s="10">
        <v>0</v>
      </c>
      <c r="K57" s="24">
        <f t="shared" si="0"/>
        <v>0.28599999999999998</v>
      </c>
    </row>
    <row r="58" spans="1:11" s="5" customFormat="1" ht="31.15" customHeight="1" x14ac:dyDescent="0.25">
      <c r="A58" s="23">
        <v>48</v>
      </c>
      <c r="B58" s="49" t="s">
        <v>1726</v>
      </c>
      <c r="C58" s="15" t="s">
        <v>39</v>
      </c>
      <c r="D58" s="7" t="s">
        <v>164</v>
      </c>
      <c r="E58" s="14" t="s">
        <v>977</v>
      </c>
      <c r="F58" s="13" t="s">
        <v>1051</v>
      </c>
      <c r="G58" s="13">
        <v>3</v>
      </c>
      <c r="H58" s="10">
        <v>0.91400000000000003</v>
      </c>
      <c r="I58" s="10">
        <v>0</v>
      </c>
      <c r="J58" s="10">
        <v>0</v>
      </c>
      <c r="K58" s="24">
        <f t="shared" si="0"/>
        <v>0.91400000000000003</v>
      </c>
    </row>
    <row r="59" spans="1:11" s="5" customFormat="1" ht="31.15" customHeight="1" x14ac:dyDescent="0.25">
      <c r="A59" s="23">
        <v>49</v>
      </c>
      <c r="B59" s="49" t="s">
        <v>1727</v>
      </c>
      <c r="C59" s="15" t="s">
        <v>39</v>
      </c>
      <c r="D59" s="7" t="s">
        <v>969</v>
      </c>
      <c r="E59" s="14" t="s">
        <v>977</v>
      </c>
      <c r="F59" s="13" t="s">
        <v>1051</v>
      </c>
      <c r="G59" s="13">
        <v>3.5</v>
      </c>
      <c r="H59" s="10">
        <v>0.74399999999999999</v>
      </c>
      <c r="I59" s="10">
        <v>0.24399999999999999</v>
      </c>
      <c r="J59" s="10">
        <v>0</v>
      </c>
      <c r="K59" s="24">
        <f t="shared" si="0"/>
        <v>0.74399999999999999</v>
      </c>
    </row>
    <row r="60" spans="1:11" s="5" customFormat="1" ht="30.6" customHeight="1" x14ac:dyDescent="0.25">
      <c r="A60" s="23">
        <v>50</v>
      </c>
      <c r="B60" s="49" t="s">
        <v>1728</v>
      </c>
      <c r="C60" s="15" t="s">
        <v>39</v>
      </c>
      <c r="D60" s="7" t="s">
        <v>165</v>
      </c>
      <c r="E60" s="14" t="s">
        <v>977</v>
      </c>
      <c r="F60" s="13" t="s">
        <v>1051</v>
      </c>
      <c r="G60" s="13">
        <v>3.5</v>
      </c>
      <c r="H60" s="10">
        <v>0.25</v>
      </c>
      <c r="I60" s="10">
        <v>0</v>
      </c>
      <c r="J60" s="10">
        <v>0.39300000000000002</v>
      </c>
      <c r="K60" s="24">
        <f t="shared" si="0"/>
        <v>0.64300000000000002</v>
      </c>
    </row>
    <row r="61" spans="1:11" s="5" customFormat="1" ht="28.15" customHeight="1" x14ac:dyDescent="0.25">
      <c r="A61" s="23">
        <v>51</v>
      </c>
      <c r="B61" s="49" t="s">
        <v>1729</v>
      </c>
      <c r="C61" s="15" t="s">
        <v>39</v>
      </c>
      <c r="D61" s="7" t="s">
        <v>968</v>
      </c>
      <c r="E61" s="14" t="s">
        <v>977</v>
      </c>
      <c r="F61" s="13" t="s">
        <v>1051</v>
      </c>
      <c r="G61" s="13">
        <v>3.5</v>
      </c>
      <c r="H61" s="10">
        <v>0.32400000000000001</v>
      </c>
      <c r="I61" s="10">
        <v>0</v>
      </c>
      <c r="J61" s="10">
        <v>0.65900000000000003</v>
      </c>
      <c r="K61" s="24">
        <f t="shared" si="0"/>
        <v>0.9830000000000001</v>
      </c>
    </row>
    <row r="62" spans="1:11" s="5" customFormat="1" ht="49.9" customHeight="1" x14ac:dyDescent="0.25">
      <c r="A62" s="23">
        <v>52</v>
      </c>
      <c r="B62" s="49" t="s">
        <v>1730</v>
      </c>
      <c r="C62" s="15" t="s">
        <v>38</v>
      </c>
      <c r="D62" s="7" t="s">
        <v>972</v>
      </c>
      <c r="E62" s="14" t="s">
        <v>977</v>
      </c>
      <c r="F62" s="13" t="s">
        <v>1051</v>
      </c>
      <c r="G62" s="13">
        <v>3.5</v>
      </c>
      <c r="H62" s="10">
        <v>0</v>
      </c>
      <c r="I62" s="10">
        <v>0</v>
      </c>
      <c r="J62" s="10">
        <v>0.12</v>
      </c>
      <c r="K62" s="24">
        <f t="shared" si="0"/>
        <v>0.12</v>
      </c>
    </row>
    <row r="63" spans="1:11" s="5" customFormat="1" ht="26.25" customHeight="1" x14ac:dyDescent="0.25">
      <c r="A63" s="23">
        <v>53</v>
      </c>
      <c r="B63" s="49" t="s">
        <v>1731</v>
      </c>
      <c r="C63" s="15" t="s">
        <v>39</v>
      </c>
      <c r="D63" s="7" t="s">
        <v>166</v>
      </c>
      <c r="E63" s="14" t="s">
        <v>977</v>
      </c>
      <c r="F63" s="13" t="s">
        <v>1051</v>
      </c>
      <c r="G63" s="13">
        <v>3.5</v>
      </c>
      <c r="H63" s="10">
        <v>0.30299999999999999</v>
      </c>
      <c r="I63" s="10">
        <v>0</v>
      </c>
      <c r="J63" s="10">
        <v>0.254</v>
      </c>
      <c r="K63" s="24">
        <f t="shared" si="0"/>
        <v>0.55699999999999994</v>
      </c>
    </row>
    <row r="64" spans="1:11" s="5" customFormat="1" ht="36" customHeight="1" x14ac:dyDescent="0.25">
      <c r="A64" s="23">
        <v>54</v>
      </c>
      <c r="B64" s="49" t="s">
        <v>1732</v>
      </c>
      <c r="C64" s="15" t="s">
        <v>38</v>
      </c>
      <c r="D64" s="7" t="s">
        <v>973</v>
      </c>
      <c r="E64" s="14" t="s">
        <v>977</v>
      </c>
      <c r="F64" s="13" t="s">
        <v>1051</v>
      </c>
      <c r="G64" s="13">
        <v>3.5</v>
      </c>
      <c r="H64" s="10">
        <v>0</v>
      </c>
      <c r="I64" s="10">
        <v>0</v>
      </c>
      <c r="J64" s="10">
        <v>0.76500000000000001</v>
      </c>
      <c r="K64" s="24">
        <f t="shared" si="0"/>
        <v>0.76500000000000001</v>
      </c>
    </row>
    <row r="65" spans="1:11" s="5" customFormat="1" ht="28.9" customHeight="1" x14ac:dyDescent="0.25">
      <c r="A65" s="23">
        <v>55</v>
      </c>
      <c r="B65" s="49" t="s">
        <v>1733</v>
      </c>
      <c r="C65" s="15" t="s">
        <v>39</v>
      </c>
      <c r="D65" s="7" t="s">
        <v>167</v>
      </c>
      <c r="E65" s="14" t="s">
        <v>977</v>
      </c>
      <c r="F65" s="13" t="s">
        <v>1051</v>
      </c>
      <c r="G65" s="13">
        <v>3.5</v>
      </c>
      <c r="H65" s="10">
        <v>0.18</v>
      </c>
      <c r="I65" s="10">
        <v>0</v>
      </c>
      <c r="J65" s="10">
        <v>0</v>
      </c>
      <c r="K65" s="24">
        <f t="shared" si="0"/>
        <v>0.18</v>
      </c>
    </row>
    <row r="66" spans="1:11" s="5" customFormat="1" ht="30" customHeight="1" x14ac:dyDescent="0.25">
      <c r="A66" s="23">
        <v>56</v>
      </c>
      <c r="B66" s="49" t="s">
        <v>1734</v>
      </c>
      <c r="C66" s="15" t="s">
        <v>39</v>
      </c>
      <c r="D66" s="7" t="s">
        <v>168</v>
      </c>
      <c r="E66" s="14" t="s">
        <v>977</v>
      </c>
      <c r="F66" s="13" t="s">
        <v>1051</v>
      </c>
      <c r="G66" s="13">
        <v>3.5</v>
      </c>
      <c r="H66" s="10">
        <v>0.17499999999999999</v>
      </c>
      <c r="I66" s="10">
        <v>0</v>
      </c>
      <c r="J66" s="10">
        <v>0</v>
      </c>
      <c r="K66" s="24">
        <f t="shared" si="0"/>
        <v>0.17499999999999999</v>
      </c>
    </row>
    <row r="67" spans="1:11" s="5" customFormat="1" ht="27.6" customHeight="1" x14ac:dyDescent="0.25">
      <c r="A67" s="23">
        <v>57</v>
      </c>
      <c r="B67" s="49" t="s">
        <v>1735</v>
      </c>
      <c r="C67" s="15" t="s">
        <v>39</v>
      </c>
      <c r="D67" s="7" t="s">
        <v>169</v>
      </c>
      <c r="E67" s="14" t="s">
        <v>977</v>
      </c>
      <c r="F67" s="13" t="s">
        <v>1051</v>
      </c>
      <c r="G67" s="13">
        <v>3.5</v>
      </c>
      <c r="H67" s="10">
        <v>0.376</v>
      </c>
      <c r="I67" s="10">
        <v>0</v>
      </c>
      <c r="J67" s="10">
        <v>0</v>
      </c>
      <c r="K67" s="24">
        <f t="shared" si="0"/>
        <v>0.376</v>
      </c>
    </row>
    <row r="68" spans="1:11" s="5" customFormat="1" ht="27" customHeight="1" x14ac:dyDescent="0.25">
      <c r="A68" s="23">
        <v>58</v>
      </c>
      <c r="B68" s="49" t="s">
        <v>1736</v>
      </c>
      <c r="C68" s="15" t="s">
        <v>39</v>
      </c>
      <c r="D68" s="7" t="s">
        <v>170</v>
      </c>
      <c r="E68" s="14" t="s">
        <v>977</v>
      </c>
      <c r="F68" s="13" t="s">
        <v>1051</v>
      </c>
      <c r="G68" s="13">
        <v>3.5</v>
      </c>
      <c r="H68" s="10">
        <v>0.78</v>
      </c>
      <c r="I68" s="10">
        <v>0</v>
      </c>
      <c r="J68" s="10">
        <v>0</v>
      </c>
      <c r="K68" s="24">
        <f t="shared" si="0"/>
        <v>0.78</v>
      </c>
    </row>
    <row r="69" spans="1:11" s="5" customFormat="1" ht="35.450000000000003" customHeight="1" x14ac:dyDescent="0.25">
      <c r="A69" s="23">
        <v>59</v>
      </c>
      <c r="B69" s="49" t="s">
        <v>1737</v>
      </c>
      <c r="C69" s="15" t="s">
        <v>38</v>
      </c>
      <c r="D69" s="7" t="s">
        <v>970</v>
      </c>
      <c r="E69" s="14" t="s">
        <v>977</v>
      </c>
      <c r="F69" s="13" t="s">
        <v>1051</v>
      </c>
      <c r="G69" s="13">
        <v>3.5</v>
      </c>
      <c r="H69" s="10">
        <v>0</v>
      </c>
      <c r="I69" s="10">
        <v>0</v>
      </c>
      <c r="J69" s="10">
        <v>0.252</v>
      </c>
      <c r="K69" s="24">
        <f t="shared" si="0"/>
        <v>0.252</v>
      </c>
    </row>
    <row r="70" spans="1:11" s="5" customFormat="1" ht="28.15" customHeight="1" x14ac:dyDescent="0.25">
      <c r="A70" s="23">
        <v>60</v>
      </c>
      <c r="B70" s="49" t="s">
        <v>1738</v>
      </c>
      <c r="C70" s="15" t="s">
        <v>39</v>
      </c>
      <c r="D70" s="7" t="s">
        <v>171</v>
      </c>
      <c r="E70" s="14" t="s">
        <v>977</v>
      </c>
      <c r="F70" s="13" t="s">
        <v>1051</v>
      </c>
      <c r="G70" s="13">
        <v>3.5</v>
      </c>
      <c r="H70" s="10">
        <v>0.47499999999999998</v>
      </c>
      <c r="I70" s="10">
        <v>0</v>
      </c>
      <c r="J70" s="10">
        <v>0</v>
      </c>
      <c r="K70" s="24">
        <f t="shared" si="0"/>
        <v>0.47499999999999998</v>
      </c>
    </row>
    <row r="71" spans="1:11" s="5" customFormat="1" ht="29.45" customHeight="1" x14ac:dyDescent="0.25">
      <c r="A71" s="23">
        <v>61</v>
      </c>
      <c r="B71" s="49" t="s">
        <v>1739</v>
      </c>
      <c r="C71" s="15" t="s">
        <v>39</v>
      </c>
      <c r="D71" s="7" t="s">
        <v>172</v>
      </c>
      <c r="E71" s="14" t="s">
        <v>977</v>
      </c>
      <c r="F71" s="13" t="s">
        <v>1051</v>
      </c>
      <c r="G71" s="13">
        <v>3.5</v>
      </c>
      <c r="H71" s="10">
        <v>0.48499999999999999</v>
      </c>
      <c r="I71" s="10">
        <v>0</v>
      </c>
      <c r="J71" s="10">
        <v>0</v>
      </c>
      <c r="K71" s="24">
        <f t="shared" si="0"/>
        <v>0.48499999999999999</v>
      </c>
    </row>
    <row r="72" spans="1:11" s="5" customFormat="1" ht="32.450000000000003" customHeight="1" x14ac:dyDescent="0.25">
      <c r="A72" s="23">
        <v>62</v>
      </c>
      <c r="B72" s="49" t="s">
        <v>1740</v>
      </c>
      <c r="C72" s="15" t="s">
        <v>39</v>
      </c>
      <c r="D72" s="7" t="s">
        <v>173</v>
      </c>
      <c r="E72" s="14" t="s">
        <v>977</v>
      </c>
      <c r="F72" s="13" t="s">
        <v>1051</v>
      </c>
      <c r="G72" s="13">
        <v>3.5</v>
      </c>
      <c r="H72" s="10">
        <v>0.58899999999999997</v>
      </c>
      <c r="I72" s="10">
        <v>0</v>
      </c>
      <c r="J72" s="10">
        <v>0</v>
      </c>
      <c r="K72" s="24">
        <f t="shared" si="0"/>
        <v>0.58899999999999997</v>
      </c>
    </row>
    <row r="73" spans="1:11" s="5" customFormat="1" ht="33" customHeight="1" x14ac:dyDescent="0.25">
      <c r="A73" s="23">
        <v>63</v>
      </c>
      <c r="B73" s="49" t="s">
        <v>1741</v>
      </c>
      <c r="C73" s="15" t="s">
        <v>39</v>
      </c>
      <c r="D73" s="7" t="s">
        <v>174</v>
      </c>
      <c r="E73" s="14" t="s">
        <v>977</v>
      </c>
      <c r="F73" s="13" t="s">
        <v>1051</v>
      </c>
      <c r="G73" s="13">
        <v>3.5</v>
      </c>
      <c r="H73" s="10">
        <v>0.6</v>
      </c>
      <c r="I73" s="10">
        <v>0</v>
      </c>
      <c r="J73" s="10">
        <v>0</v>
      </c>
      <c r="K73" s="24">
        <f t="shared" si="0"/>
        <v>0.6</v>
      </c>
    </row>
    <row r="74" spans="1:11" s="5" customFormat="1" ht="34.15" customHeight="1" x14ac:dyDescent="0.25">
      <c r="A74" s="23">
        <v>64</v>
      </c>
      <c r="B74" s="49" t="s">
        <v>1742</v>
      </c>
      <c r="C74" s="15" t="s">
        <v>39</v>
      </c>
      <c r="D74" s="7" t="s">
        <v>175</v>
      </c>
      <c r="E74" s="14" t="s">
        <v>977</v>
      </c>
      <c r="F74" s="13" t="s">
        <v>1051</v>
      </c>
      <c r="G74" s="13">
        <v>3.5</v>
      </c>
      <c r="H74" s="10">
        <v>0.69499999999999995</v>
      </c>
      <c r="I74" s="10">
        <v>0</v>
      </c>
      <c r="J74" s="10">
        <v>0</v>
      </c>
      <c r="K74" s="24">
        <f t="shared" si="0"/>
        <v>0.69499999999999995</v>
      </c>
    </row>
    <row r="75" spans="1:11" s="5" customFormat="1" ht="31.9" customHeight="1" x14ac:dyDescent="0.25">
      <c r="A75" s="23">
        <v>65</v>
      </c>
      <c r="B75" s="49" t="s">
        <v>1743</v>
      </c>
      <c r="C75" s="15" t="s">
        <v>39</v>
      </c>
      <c r="D75" s="7" t="s">
        <v>176</v>
      </c>
      <c r="E75" s="14" t="s">
        <v>977</v>
      </c>
      <c r="F75" s="13" t="s">
        <v>1051</v>
      </c>
      <c r="G75" s="13">
        <v>3.5</v>
      </c>
      <c r="H75" s="10">
        <v>0.246</v>
      </c>
      <c r="I75" s="10">
        <v>0</v>
      </c>
      <c r="J75" s="10">
        <v>0.20599999999999999</v>
      </c>
      <c r="K75" s="24">
        <f t="shared" si="0"/>
        <v>0.45199999999999996</v>
      </c>
    </row>
    <row r="76" spans="1:11" s="5" customFormat="1" ht="31.9" customHeight="1" x14ac:dyDescent="0.25">
      <c r="A76" s="23">
        <v>66</v>
      </c>
      <c r="B76" s="49" t="s">
        <v>1744</v>
      </c>
      <c r="C76" s="15" t="s">
        <v>39</v>
      </c>
      <c r="D76" s="7" t="s">
        <v>177</v>
      </c>
      <c r="E76" s="14" t="s">
        <v>977</v>
      </c>
      <c r="F76" s="13" t="s">
        <v>1051</v>
      </c>
      <c r="G76" s="13">
        <v>3.5</v>
      </c>
      <c r="H76" s="10">
        <v>0.13200000000000001</v>
      </c>
      <c r="I76" s="10">
        <v>0</v>
      </c>
      <c r="J76" s="10">
        <v>0</v>
      </c>
      <c r="K76" s="24">
        <f t="shared" si="0"/>
        <v>0.13200000000000001</v>
      </c>
    </row>
    <row r="77" spans="1:11" s="5" customFormat="1" ht="31.9" customHeight="1" x14ac:dyDescent="0.25">
      <c r="A77" s="23">
        <v>67</v>
      </c>
      <c r="B77" s="49" t="s">
        <v>1745</v>
      </c>
      <c r="C77" s="15" t="s">
        <v>39</v>
      </c>
      <c r="D77" s="7" t="s">
        <v>178</v>
      </c>
      <c r="E77" s="14" t="s">
        <v>977</v>
      </c>
      <c r="F77" s="13" t="s">
        <v>1051</v>
      </c>
      <c r="G77" s="13">
        <v>4</v>
      </c>
      <c r="H77" s="10">
        <v>0.61399999999999999</v>
      </c>
      <c r="I77" s="10">
        <v>0.61399999999999999</v>
      </c>
      <c r="J77" s="10">
        <v>0</v>
      </c>
      <c r="K77" s="24">
        <f t="shared" si="0"/>
        <v>0.61399999999999999</v>
      </c>
    </row>
    <row r="78" spans="1:11" s="5" customFormat="1" ht="29.45" customHeight="1" x14ac:dyDescent="0.25">
      <c r="A78" s="23">
        <v>68</v>
      </c>
      <c r="B78" s="49" t="s">
        <v>1746</v>
      </c>
      <c r="C78" s="15" t="s">
        <v>976</v>
      </c>
      <c r="D78" s="7" t="s">
        <v>179</v>
      </c>
      <c r="E78" s="14" t="s">
        <v>977</v>
      </c>
      <c r="F78" s="13" t="s">
        <v>1051</v>
      </c>
      <c r="G78" s="13">
        <v>3.5</v>
      </c>
      <c r="H78" s="10">
        <v>0.36</v>
      </c>
      <c r="I78" s="10">
        <v>0</v>
      </c>
      <c r="J78" s="10">
        <v>0</v>
      </c>
      <c r="K78" s="24">
        <f t="shared" si="0"/>
        <v>0.36</v>
      </c>
    </row>
    <row r="79" spans="1:11" s="5" customFormat="1" ht="29.45" customHeight="1" x14ac:dyDescent="0.25">
      <c r="A79" s="23">
        <v>69</v>
      </c>
      <c r="B79" s="49" t="s">
        <v>1747</v>
      </c>
      <c r="C79" s="15" t="s">
        <v>976</v>
      </c>
      <c r="D79" s="7" t="s">
        <v>975</v>
      </c>
      <c r="E79" s="14" t="s">
        <v>977</v>
      </c>
      <c r="F79" s="13" t="s">
        <v>1051</v>
      </c>
      <c r="G79" s="13">
        <v>3.5</v>
      </c>
      <c r="H79" s="10">
        <v>0.18099999999999999</v>
      </c>
      <c r="I79" s="10">
        <v>0</v>
      </c>
      <c r="J79" s="10">
        <v>0</v>
      </c>
      <c r="K79" s="24">
        <f t="shared" si="0"/>
        <v>0.18099999999999999</v>
      </c>
    </row>
    <row r="80" spans="1:11" s="5" customFormat="1" ht="37.5" customHeight="1" x14ac:dyDescent="0.25">
      <c r="A80" s="23">
        <v>70</v>
      </c>
      <c r="B80" s="49" t="s">
        <v>1748</v>
      </c>
      <c r="C80" s="15" t="s">
        <v>38</v>
      </c>
      <c r="D80" s="7" t="s">
        <v>180</v>
      </c>
      <c r="E80" s="14" t="s">
        <v>977</v>
      </c>
      <c r="F80" s="13" t="s">
        <v>1051</v>
      </c>
      <c r="G80" s="13">
        <v>3.5</v>
      </c>
      <c r="H80" s="10">
        <v>0.155</v>
      </c>
      <c r="I80" s="10">
        <v>0</v>
      </c>
      <c r="J80" s="10">
        <v>0</v>
      </c>
      <c r="K80" s="24">
        <f t="shared" si="0"/>
        <v>0.155</v>
      </c>
    </row>
    <row r="81" spans="1:11" s="5" customFormat="1" ht="30" customHeight="1" x14ac:dyDescent="0.25">
      <c r="A81" s="23">
        <v>71</v>
      </c>
      <c r="B81" s="49" t="s">
        <v>1749</v>
      </c>
      <c r="C81" s="15" t="s">
        <v>39</v>
      </c>
      <c r="D81" s="7" t="s">
        <v>181</v>
      </c>
      <c r="E81" s="14" t="s">
        <v>977</v>
      </c>
      <c r="F81" s="13" t="s">
        <v>1051</v>
      </c>
      <c r="G81" s="13">
        <v>3.5</v>
      </c>
      <c r="H81" s="10">
        <v>0</v>
      </c>
      <c r="I81" s="10">
        <v>0</v>
      </c>
      <c r="J81" s="10">
        <v>0.255</v>
      </c>
      <c r="K81" s="24">
        <f t="shared" si="0"/>
        <v>0.255</v>
      </c>
    </row>
    <row r="82" spans="1:11" s="5" customFormat="1" ht="27" customHeight="1" x14ac:dyDescent="0.25">
      <c r="A82" s="23">
        <v>72</v>
      </c>
      <c r="B82" s="49" t="s">
        <v>1750</v>
      </c>
      <c r="C82" s="15" t="s">
        <v>39</v>
      </c>
      <c r="D82" s="7" t="s">
        <v>182</v>
      </c>
      <c r="E82" s="14" t="s">
        <v>977</v>
      </c>
      <c r="F82" s="13" t="s">
        <v>1051</v>
      </c>
      <c r="G82" s="13">
        <v>3.5</v>
      </c>
      <c r="H82" s="10">
        <v>0.56100000000000005</v>
      </c>
      <c r="I82" s="10">
        <v>0</v>
      </c>
      <c r="J82" s="10">
        <v>0</v>
      </c>
      <c r="K82" s="24">
        <f t="shared" si="0"/>
        <v>0.56100000000000005</v>
      </c>
    </row>
    <row r="83" spans="1:11" s="5" customFormat="1" ht="33.75" customHeight="1" x14ac:dyDescent="0.25">
      <c r="A83" s="23">
        <v>73</v>
      </c>
      <c r="B83" s="49" t="s">
        <v>1751</v>
      </c>
      <c r="C83" s="15" t="s">
        <v>38</v>
      </c>
      <c r="D83" s="7" t="s">
        <v>974</v>
      </c>
      <c r="E83" s="14" t="s">
        <v>977</v>
      </c>
      <c r="F83" s="13" t="s">
        <v>1051</v>
      </c>
      <c r="G83" s="13">
        <v>3.5</v>
      </c>
      <c r="H83" s="10">
        <v>0</v>
      </c>
      <c r="I83" s="10">
        <v>0</v>
      </c>
      <c r="J83" s="10">
        <v>8.5000000000000006E-2</v>
      </c>
      <c r="K83" s="24">
        <f t="shared" si="0"/>
        <v>8.5000000000000006E-2</v>
      </c>
    </row>
    <row r="84" spans="1:11" s="5" customFormat="1" ht="27.6" customHeight="1" x14ac:dyDescent="0.25">
      <c r="A84" s="23">
        <v>74</v>
      </c>
      <c r="B84" s="49" t="s">
        <v>1752</v>
      </c>
      <c r="C84" s="15" t="s">
        <v>39</v>
      </c>
      <c r="D84" s="7" t="s">
        <v>183</v>
      </c>
      <c r="E84" s="14" t="s">
        <v>977</v>
      </c>
      <c r="F84" s="13" t="s">
        <v>1051</v>
      </c>
      <c r="G84" s="13">
        <v>3.5</v>
      </c>
      <c r="H84" s="10">
        <v>0.61799999999999999</v>
      </c>
      <c r="I84" s="10">
        <v>0</v>
      </c>
      <c r="J84" s="10">
        <v>0</v>
      </c>
      <c r="K84" s="24">
        <f t="shared" si="0"/>
        <v>0.61799999999999999</v>
      </c>
    </row>
    <row r="85" spans="1:11" s="5" customFormat="1" ht="27" customHeight="1" x14ac:dyDescent="0.25">
      <c r="A85" s="23">
        <v>75</v>
      </c>
      <c r="B85" s="49" t="s">
        <v>1753</v>
      </c>
      <c r="C85" s="15" t="s">
        <v>39</v>
      </c>
      <c r="D85" s="7" t="s">
        <v>184</v>
      </c>
      <c r="E85" s="14" t="s">
        <v>977</v>
      </c>
      <c r="F85" s="13" t="s">
        <v>1051</v>
      </c>
      <c r="G85" s="13">
        <v>3.5</v>
      </c>
      <c r="H85" s="10">
        <v>0.66500000000000004</v>
      </c>
      <c r="I85" s="10">
        <v>0</v>
      </c>
      <c r="J85" s="10">
        <v>0</v>
      </c>
      <c r="K85" s="24">
        <f t="shared" si="0"/>
        <v>0.66500000000000004</v>
      </c>
    </row>
    <row r="86" spans="1:11" s="5" customFormat="1" ht="36" customHeight="1" x14ac:dyDescent="0.25">
      <c r="A86" s="23">
        <v>76</v>
      </c>
      <c r="B86" s="49" t="s">
        <v>1754</v>
      </c>
      <c r="C86" s="15" t="s">
        <v>38</v>
      </c>
      <c r="D86" s="7" t="s">
        <v>185</v>
      </c>
      <c r="E86" s="14" t="s">
        <v>977</v>
      </c>
      <c r="F86" s="13" t="s">
        <v>1051</v>
      </c>
      <c r="G86" s="13">
        <v>3.5</v>
      </c>
      <c r="H86" s="10">
        <v>0</v>
      </c>
      <c r="I86" s="10">
        <v>0</v>
      </c>
      <c r="J86" s="10">
        <v>1.248</v>
      </c>
      <c r="K86" s="24">
        <f t="shared" si="0"/>
        <v>1.248</v>
      </c>
    </row>
    <row r="87" spans="1:11" s="5" customFormat="1" ht="34.5" customHeight="1" x14ac:dyDescent="0.25">
      <c r="A87" s="23">
        <v>77</v>
      </c>
      <c r="B87" s="49" t="s">
        <v>1755</v>
      </c>
      <c r="C87" s="15" t="s">
        <v>38</v>
      </c>
      <c r="D87" s="7" t="s">
        <v>186</v>
      </c>
      <c r="E87" s="14" t="s">
        <v>977</v>
      </c>
      <c r="F87" s="13" t="s">
        <v>1051</v>
      </c>
      <c r="G87" s="13">
        <v>3.5</v>
      </c>
      <c r="H87" s="10">
        <v>0</v>
      </c>
      <c r="I87" s="10">
        <v>0</v>
      </c>
      <c r="J87" s="10">
        <v>1.05</v>
      </c>
      <c r="K87" s="24">
        <f t="shared" si="0"/>
        <v>1.05</v>
      </c>
    </row>
    <row r="88" spans="1:11" s="5" customFormat="1" ht="37.5" customHeight="1" x14ac:dyDescent="0.25">
      <c r="A88" s="23">
        <v>78</v>
      </c>
      <c r="B88" s="49" t="s">
        <v>1756</v>
      </c>
      <c r="C88" s="15" t="s">
        <v>38</v>
      </c>
      <c r="D88" s="7" t="s">
        <v>187</v>
      </c>
      <c r="E88" s="14" t="s">
        <v>977</v>
      </c>
      <c r="F88" s="13" t="s">
        <v>1051</v>
      </c>
      <c r="G88" s="13">
        <v>3.5</v>
      </c>
      <c r="H88" s="10">
        <v>0</v>
      </c>
      <c r="I88" s="10">
        <v>0</v>
      </c>
      <c r="J88" s="10">
        <v>1.954</v>
      </c>
      <c r="K88" s="24">
        <f t="shared" si="0"/>
        <v>1.954</v>
      </c>
    </row>
    <row r="89" spans="1:11" s="5" customFormat="1" ht="35.450000000000003" customHeight="1" x14ac:dyDescent="0.25">
      <c r="A89" s="23">
        <v>79</v>
      </c>
      <c r="B89" s="49" t="s">
        <v>1757</v>
      </c>
      <c r="C89" s="15" t="s">
        <v>38</v>
      </c>
      <c r="D89" s="7" t="s">
        <v>188</v>
      </c>
      <c r="E89" s="14" t="s">
        <v>977</v>
      </c>
      <c r="F89" s="13" t="s">
        <v>1051</v>
      </c>
      <c r="G89" s="13">
        <v>3.5</v>
      </c>
      <c r="H89" s="10">
        <v>0</v>
      </c>
      <c r="I89" s="10">
        <v>0</v>
      </c>
      <c r="J89" s="10">
        <v>1.2450000000000001</v>
      </c>
      <c r="K89" s="24">
        <f t="shared" si="0"/>
        <v>1.2450000000000001</v>
      </c>
    </row>
    <row r="90" spans="1:11" s="5" customFormat="1" ht="36.75" customHeight="1" x14ac:dyDescent="0.25">
      <c r="A90" s="23">
        <v>80</v>
      </c>
      <c r="B90" s="49" t="s">
        <v>1758</v>
      </c>
      <c r="C90" s="15" t="s">
        <v>38</v>
      </c>
      <c r="D90" s="7" t="s">
        <v>189</v>
      </c>
      <c r="E90" s="14" t="s">
        <v>977</v>
      </c>
      <c r="F90" s="13" t="s">
        <v>1051</v>
      </c>
      <c r="G90" s="13">
        <v>3.5</v>
      </c>
      <c r="H90" s="10">
        <v>0</v>
      </c>
      <c r="I90" s="10">
        <v>0</v>
      </c>
      <c r="J90" s="10">
        <v>3.7789999999999999</v>
      </c>
      <c r="K90" s="24">
        <f t="shared" si="0"/>
        <v>3.7789999999999999</v>
      </c>
    </row>
    <row r="91" spans="1:11" s="5" customFormat="1" ht="36" customHeight="1" x14ac:dyDescent="0.25">
      <c r="A91" s="23">
        <v>81</v>
      </c>
      <c r="B91" s="49" t="s">
        <v>1759</v>
      </c>
      <c r="C91" s="15" t="s">
        <v>38</v>
      </c>
      <c r="D91" s="7" t="s">
        <v>190</v>
      </c>
      <c r="E91" s="14" t="s">
        <v>977</v>
      </c>
      <c r="F91" s="13" t="s">
        <v>1051</v>
      </c>
      <c r="G91" s="13">
        <v>3.5</v>
      </c>
      <c r="H91" s="10">
        <v>0</v>
      </c>
      <c r="I91" s="10">
        <v>0</v>
      </c>
      <c r="J91" s="10">
        <v>1.4379999999999999</v>
      </c>
      <c r="K91" s="24">
        <f t="shared" si="0"/>
        <v>1.4379999999999999</v>
      </c>
    </row>
    <row r="92" spans="1:11" s="5" customFormat="1" ht="36.75" customHeight="1" x14ac:dyDescent="0.25">
      <c r="A92" s="23">
        <v>82</v>
      </c>
      <c r="B92" s="49" t="s">
        <v>1760</v>
      </c>
      <c r="C92" s="15" t="s">
        <v>38</v>
      </c>
      <c r="D92" s="7" t="s">
        <v>191</v>
      </c>
      <c r="E92" s="14" t="s">
        <v>977</v>
      </c>
      <c r="F92" s="13" t="s">
        <v>1051</v>
      </c>
      <c r="G92" s="13">
        <v>3.5</v>
      </c>
      <c r="H92" s="10">
        <v>0</v>
      </c>
      <c r="I92" s="10">
        <v>0</v>
      </c>
      <c r="J92" s="10">
        <v>2.0129999999999999</v>
      </c>
      <c r="K92" s="24">
        <f t="shared" si="0"/>
        <v>2.0129999999999999</v>
      </c>
    </row>
    <row r="93" spans="1:11" s="5" customFormat="1" ht="42.75" customHeight="1" x14ac:dyDescent="0.25">
      <c r="A93" s="23">
        <v>83</v>
      </c>
      <c r="B93" s="49" t="s">
        <v>1761</v>
      </c>
      <c r="C93" s="15" t="s">
        <v>38</v>
      </c>
      <c r="D93" s="7" t="s">
        <v>191</v>
      </c>
      <c r="E93" s="14" t="s">
        <v>977</v>
      </c>
      <c r="F93" s="13" t="s">
        <v>1051</v>
      </c>
      <c r="G93" s="13">
        <v>3.5</v>
      </c>
      <c r="H93" s="10">
        <v>0</v>
      </c>
      <c r="I93" s="10">
        <v>0</v>
      </c>
      <c r="J93" s="10">
        <v>0.85299999999999998</v>
      </c>
      <c r="K93" s="24">
        <f t="shared" si="0"/>
        <v>0.85299999999999998</v>
      </c>
    </row>
    <row r="94" spans="1:11" s="5" customFormat="1" ht="34.5" customHeight="1" x14ac:dyDescent="0.25">
      <c r="A94" s="23">
        <v>84</v>
      </c>
      <c r="B94" s="49" t="s">
        <v>1762</v>
      </c>
      <c r="C94" s="15" t="s">
        <v>38</v>
      </c>
      <c r="D94" s="7" t="s">
        <v>192</v>
      </c>
      <c r="E94" s="14" t="s">
        <v>977</v>
      </c>
      <c r="F94" s="13" t="s">
        <v>1051</v>
      </c>
      <c r="G94" s="13">
        <v>3.5</v>
      </c>
      <c r="H94" s="10">
        <v>0</v>
      </c>
      <c r="I94" s="10">
        <v>0</v>
      </c>
      <c r="J94" s="10">
        <v>0.5</v>
      </c>
      <c r="K94" s="24">
        <f t="shared" si="0"/>
        <v>0.5</v>
      </c>
    </row>
    <row r="95" spans="1:11" s="5" customFormat="1" ht="33" customHeight="1" x14ac:dyDescent="0.25">
      <c r="A95" s="23">
        <v>85</v>
      </c>
      <c r="B95" s="49" t="s">
        <v>1763</v>
      </c>
      <c r="C95" s="15" t="s">
        <v>38</v>
      </c>
      <c r="D95" s="7" t="s">
        <v>193</v>
      </c>
      <c r="E95" s="14" t="s">
        <v>977</v>
      </c>
      <c r="F95" s="13" t="s">
        <v>1051</v>
      </c>
      <c r="G95" s="13">
        <v>3.5</v>
      </c>
      <c r="H95" s="10">
        <v>0</v>
      </c>
      <c r="I95" s="10">
        <v>0</v>
      </c>
      <c r="J95" s="10">
        <v>1.0429999999999999</v>
      </c>
      <c r="K95" s="24">
        <f t="shared" si="0"/>
        <v>1.0429999999999999</v>
      </c>
    </row>
    <row r="96" spans="1:11" s="5" customFormat="1" ht="50.25" customHeight="1" x14ac:dyDescent="0.25">
      <c r="A96" s="23">
        <v>86</v>
      </c>
      <c r="B96" s="49" t="s">
        <v>1764</v>
      </c>
      <c r="C96" s="15" t="s">
        <v>38</v>
      </c>
      <c r="D96" s="7" t="s">
        <v>197</v>
      </c>
      <c r="E96" s="14" t="s">
        <v>977</v>
      </c>
      <c r="F96" s="13" t="s">
        <v>1051</v>
      </c>
      <c r="G96" s="13">
        <v>3.5</v>
      </c>
      <c r="H96" s="10">
        <v>0</v>
      </c>
      <c r="I96" s="10">
        <v>0</v>
      </c>
      <c r="J96" s="10">
        <f>0.744+0.266</f>
        <v>1.01</v>
      </c>
      <c r="K96" s="24">
        <f t="shared" si="0"/>
        <v>1.01</v>
      </c>
    </row>
    <row r="97" spans="1:11" s="5" customFormat="1" ht="36.75" customHeight="1" x14ac:dyDescent="0.25">
      <c r="A97" s="23">
        <v>87</v>
      </c>
      <c r="B97" s="49" t="s">
        <v>1765</v>
      </c>
      <c r="C97" s="15" t="s">
        <v>38</v>
      </c>
      <c r="D97" s="7" t="s">
        <v>196</v>
      </c>
      <c r="E97" s="14" t="s">
        <v>977</v>
      </c>
      <c r="F97" s="13" t="s">
        <v>1051</v>
      </c>
      <c r="G97" s="13">
        <v>3.5</v>
      </c>
      <c r="H97" s="10">
        <v>0</v>
      </c>
      <c r="I97" s="10">
        <v>0</v>
      </c>
      <c r="J97" s="10">
        <f>1.083+0.812</f>
        <v>1.895</v>
      </c>
      <c r="K97" s="24">
        <f t="shared" si="0"/>
        <v>1.895</v>
      </c>
    </row>
    <row r="98" spans="1:11" s="5" customFormat="1" ht="33.75" customHeight="1" x14ac:dyDescent="0.25">
      <c r="A98" s="23">
        <v>88</v>
      </c>
      <c r="B98" s="49" t="s">
        <v>1766</v>
      </c>
      <c r="C98" s="15" t="s">
        <v>38</v>
      </c>
      <c r="D98" s="7" t="s">
        <v>198</v>
      </c>
      <c r="E98" s="14" t="s">
        <v>977</v>
      </c>
      <c r="F98" s="13" t="s">
        <v>1051</v>
      </c>
      <c r="G98" s="13">
        <v>3.5</v>
      </c>
      <c r="H98" s="10">
        <v>0</v>
      </c>
      <c r="I98" s="10">
        <v>0</v>
      </c>
      <c r="J98" s="10">
        <v>1.306</v>
      </c>
      <c r="K98" s="24">
        <f t="shared" si="0"/>
        <v>1.306</v>
      </c>
    </row>
    <row r="99" spans="1:11" s="5" customFormat="1" ht="33" customHeight="1" x14ac:dyDescent="0.25">
      <c r="A99" s="23">
        <v>89</v>
      </c>
      <c r="B99" s="49" t="s">
        <v>1767</v>
      </c>
      <c r="C99" s="15" t="s">
        <v>38</v>
      </c>
      <c r="D99" s="7" t="s">
        <v>199</v>
      </c>
      <c r="E99" s="14" t="s">
        <v>977</v>
      </c>
      <c r="F99" s="13" t="s">
        <v>1051</v>
      </c>
      <c r="G99" s="13">
        <v>3.5</v>
      </c>
      <c r="H99" s="10">
        <v>0</v>
      </c>
      <c r="I99" s="10">
        <v>0</v>
      </c>
      <c r="J99" s="10">
        <v>3.0289999999999999</v>
      </c>
      <c r="K99" s="24">
        <f t="shared" ref="K99:K103" si="1">SUM(J99,H99)</f>
        <v>3.0289999999999999</v>
      </c>
    </row>
    <row r="100" spans="1:11" s="5" customFormat="1" ht="33.75" customHeight="1" x14ac:dyDescent="0.25">
      <c r="A100" s="23">
        <v>90</v>
      </c>
      <c r="B100" s="49" t="s">
        <v>1768</v>
      </c>
      <c r="C100" s="15" t="s">
        <v>38</v>
      </c>
      <c r="D100" s="7" t="s">
        <v>613</v>
      </c>
      <c r="E100" s="14" t="s">
        <v>977</v>
      </c>
      <c r="F100" s="13" t="s">
        <v>1051</v>
      </c>
      <c r="G100" s="13">
        <v>3.5</v>
      </c>
      <c r="H100" s="10">
        <v>0</v>
      </c>
      <c r="I100" s="10">
        <v>0</v>
      </c>
      <c r="J100" s="10">
        <f>0.592+0.297+0.424+0.438</f>
        <v>1.7509999999999999</v>
      </c>
      <c r="K100" s="24">
        <f t="shared" si="1"/>
        <v>1.7509999999999999</v>
      </c>
    </row>
    <row r="101" spans="1:11" s="5" customFormat="1" ht="33" customHeight="1" x14ac:dyDescent="0.25">
      <c r="A101" s="23">
        <v>91</v>
      </c>
      <c r="B101" s="49" t="s">
        <v>1769</v>
      </c>
      <c r="C101" s="15" t="s">
        <v>38</v>
      </c>
      <c r="D101" s="7" t="s">
        <v>983</v>
      </c>
      <c r="E101" s="14" t="s">
        <v>977</v>
      </c>
      <c r="F101" s="13" t="s">
        <v>1051</v>
      </c>
      <c r="G101" s="13">
        <v>3.5</v>
      </c>
      <c r="H101" s="10">
        <v>0</v>
      </c>
      <c r="I101" s="10">
        <v>0</v>
      </c>
      <c r="J101" s="10">
        <v>3.0640000000000001</v>
      </c>
      <c r="K101" s="24">
        <f t="shared" si="1"/>
        <v>3.0640000000000001</v>
      </c>
    </row>
    <row r="102" spans="1:11" s="5" customFormat="1" ht="34.5" customHeight="1" x14ac:dyDescent="0.25">
      <c r="A102" s="23">
        <v>92</v>
      </c>
      <c r="B102" s="49" t="s">
        <v>1770</v>
      </c>
      <c r="C102" s="15" t="s">
        <v>38</v>
      </c>
      <c r="D102" s="7" t="s">
        <v>984</v>
      </c>
      <c r="E102" s="14" t="s">
        <v>977</v>
      </c>
      <c r="F102" s="13" t="s">
        <v>1051</v>
      </c>
      <c r="G102" s="13">
        <v>3.5</v>
      </c>
      <c r="H102" s="10">
        <v>0</v>
      </c>
      <c r="I102" s="10">
        <v>0</v>
      </c>
      <c r="J102" s="10">
        <v>6.7229999999999999</v>
      </c>
      <c r="K102" s="24">
        <f t="shared" si="1"/>
        <v>6.7229999999999999</v>
      </c>
    </row>
    <row r="103" spans="1:11" s="5" customFormat="1" ht="35.450000000000003" customHeight="1" x14ac:dyDescent="0.25">
      <c r="A103" s="23">
        <v>93</v>
      </c>
      <c r="B103" s="49" t="s">
        <v>1771</v>
      </c>
      <c r="C103" s="15" t="s">
        <v>38</v>
      </c>
      <c r="D103" s="7" t="s">
        <v>993</v>
      </c>
      <c r="E103" s="14" t="s">
        <v>977</v>
      </c>
      <c r="F103" s="13" t="s">
        <v>1051</v>
      </c>
      <c r="G103" s="13">
        <v>3.5</v>
      </c>
      <c r="H103" s="10">
        <v>0</v>
      </c>
      <c r="I103" s="10">
        <v>0</v>
      </c>
      <c r="J103" s="10">
        <v>6.7220000000000004</v>
      </c>
      <c r="K103" s="24">
        <f t="shared" si="1"/>
        <v>6.7220000000000004</v>
      </c>
    </row>
  </sheetData>
  <sheetProtection insertRows="0" deleteRows="0" sort="0"/>
  <mergeCells count="9">
    <mergeCell ref="K7:K8"/>
    <mergeCell ref="G7:G8"/>
    <mergeCell ref="F7:F8"/>
    <mergeCell ref="C1:I1"/>
    <mergeCell ref="A7:A8"/>
    <mergeCell ref="B7:B8"/>
    <mergeCell ref="C7:C8"/>
    <mergeCell ref="D7:D8"/>
    <mergeCell ref="E7:E8"/>
  </mergeCells>
  <conditionalFormatting sqref="K11:K103">
    <cfRule type="expression" dxfId="40" priority="1">
      <formula>$H11+$J11&lt;&gt;$K11</formula>
    </cfRule>
  </conditionalFormatting>
  <conditionalFormatting sqref="K11:K17 H10:K10">
    <cfRule type="expression" dxfId="39" priority="225">
      <formula>H$10&lt;&gt;SUM(H$11:H$395)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5"/>
  <sheetViews>
    <sheetView topLeftCell="A49" zoomScaleNormal="100" zoomScaleSheetLayoutView="80" workbookViewId="0">
      <selection activeCell="J47" sqref="J47"/>
    </sheetView>
  </sheetViews>
  <sheetFormatPr defaultColWidth="9.140625" defaultRowHeight="15" x14ac:dyDescent="0.25"/>
  <cols>
    <col min="1" max="1" width="7.140625" style="100" customWidth="1"/>
    <col min="2" max="2" width="23.85546875" style="100" customWidth="1"/>
    <col min="3" max="3" width="13.28515625" style="100" customWidth="1"/>
    <col min="4" max="4" width="34.140625" style="100" customWidth="1"/>
    <col min="5" max="5" width="22.7109375" style="100" customWidth="1"/>
    <col min="6" max="6" width="9.42578125" style="100" customWidth="1"/>
    <col min="7" max="7" width="9.85546875" style="100" customWidth="1"/>
    <col min="8" max="8" width="13.85546875" style="100" customWidth="1"/>
    <col min="9" max="9" width="15.5703125" style="100" customWidth="1"/>
    <col min="10" max="10" width="12.28515625" style="100" customWidth="1"/>
    <col min="11" max="11" width="17.5703125" style="100" customWidth="1"/>
    <col min="12" max="16384" width="9.140625" style="100"/>
  </cols>
  <sheetData>
    <row r="1" spans="1:11" s="4" customFormat="1" ht="28.9" customHeight="1" x14ac:dyDescent="0.25">
      <c r="B1" s="5"/>
      <c r="C1" s="180" t="s">
        <v>3198</v>
      </c>
      <c r="D1" s="180"/>
      <c r="E1" s="180"/>
      <c r="F1" s="180"/>
      <c r="G1" s="180"/>
      <c r="H1" s="180"/>
      <c r="I1" s="180"/>
      <c r="J1" s="5"/>
    </row>
    <row r="2" spans="1:11" s="4" customFormat="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s="4" customFormat="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s="4" customFormat="1" x14ac:dyDescent="0.25">
      <c r="C4" s="152"/>
      <c r="D4" s="152"/>
      <c r="E4" s="152"/>
      <c r="F4" s="152"/>
      <c r="G4" s="152"/>
      <c r="H4" s="152"/>
      <c r="I4" s="152"/>
      <c r="K4" s="153" t="s">
        <v>3193</v>
      </c>
    </row>
    <row r="5" spans="1:11" s="4" customFormat="1" x14ac:dyDescent="0.25">
      <c r="K5" s="153" t="s">
        <v>3285</v>
      </c>
    </row>
    <row r="6" spans="1:11" s="4" customFormat="1" x14ac:dyDescent="0.25">
      <c r="K6" s="153"/>
    </row>
    <row r="7" spans="1:11" s="4" customFormat="1" x14ac:dyDescent="0.25">
      <c r="A7" s="171" t="s">
        <v>15</v>
      </c>
      <c r="B7" s="171" t="s">
        <v>0</v>
      </c>
      <c r="C7" s="171" t="s">
        <v>13</v>
      </c>
      <c r="D7" s="171" t="s">
        <v>1</v>
      </c>
      <c r="E7" s="171" t="s">
        <v>6</v>
      </c>
      <c r="F7" s="171" t="s">
        <v>14</v>
      </c>
      <c r="G7" s="171" t="s">
        <v>958</v>
      </c>
      <c r="H7" s="173" t="s">
        <v>16</v>
      </c>
      <c r="I7" s="173"/>
      <c r="J7" s="172"/>
      <c r="K7" s="175" t="s">
        <v>5</v>
      </c>
    </row>
    <row r="8" spans="1:11" s="4" customFormat="1" ht="88.15" customHeight="1" thickBot="1" x14ac:dyDescent="0.3">
      <c r="A8" s="172"/>
      <c r="B8" s="172"/>
      <c r="C8" s="172"/>
      <c r="D8" s="172"/>
      <c r="E8" s="172"/>
      <c r="F8" s="172"/>
      <c r="G8" s="171"/>
      <c r="H8" s="150" t="s">
        <v>3</v>
      </c>
      <c r="I8" s="150" t="s">
        <v>24</v>
      </c>
      <c r="J8" s="140" t="s">
        <v>4</v>
      </c>
      <c r="K8" s="176"/>
    </row>
    <row r="9" spans="1:11" s="4" customFormat="1" x14ac:dyDescent="0.25">
      <c r="A9" s="18" t="s">
        <v>2</v>
      </c>
      <c r="B9" s="19"/>
      <c r="C9" s="19"/>
      <c r="D9" s="19"/>
      <c r="E9" s="19"/>
      <c r="F9" s="19"/>
      <c r="G9" s="19"/>
      <c r="H9" s="160">
        <f>SUM(H10:H55)</f>
        <v>20.884</v>
      </c>
      <c r="I9" s="160">
        <f>SUM(I10:I55)</f>
        <v>12.654999999999999</v>
      </c>
      <c r="J9" s="160">
        <f>SUM(J10:J55)</f>
        <v>39.872999999999998</v>
      </c>
      <c r="K9" s="160">
        <f>SUM(K10:K55)</f>
        <v>60.757000000000005</v>
      </c>
    </row>
    <row r="10" spans="1:11" s="92" customFormat="1" ht="32.450000000000003" customHeight="1" x14ac:dyDescent="0.25">
      <c r="A10" s="128">
        <v>1</v>
      </c>
      <c r="B10" s="151" t="s">
        <v>3298</v>
      </c>
      <c r="C10" s="33" t="s">
        <v>39</v>
      </c>
      <c r="D10" s="57" t="s">
        <v>3299</v>
      </c>
      <c r="E10" s="33" t="s">
        <v>1017</v>
      </c>
      <c r="F10" s="58" t="s">
        <v>1051</v>
      </c>
      <c r="G10" s="58">
        <v>4</v>
      </c>
      <c r="H10" s="129">
        <v>1.145</v>
      </c>
      <c r="I10" s="129">
        <v>1.145</v>
      </c>
      <c r="J10" s="129">
        <v>0</v>
      </c>
      <c r="K10" s="130">
        <f>SUM(J10,H10)</f>
        <v>1.145</v>
      </c>
    </row>
    <row r="11" spans="1:11" s="92" customFormat="1" ht="33" customHeight="1" x14ac:dyDescent="0.25">
      <c r="A11" s="128">
        <v>2</v>
      </c>
      <c r="B11" s="151" t="s">
        <v>1772</v>
      </c>
      <c r="C11" s="33" t="s">
        <v>39</v>
      </c>
      <c r="D11" s="57" t="s">
        <v>301</v>
      </c>
      <c r="E11" s="33" t="s">
        <v>1017</v>
      </c>
      <c r="F11" s="58" t="s">
        <v>1051</v>
      </c>
      <c r="G11" s="58">
        <v>4</v>
      </c>
      <c r="H11" s="129">
        <v>0.80400000000000005</v>
      </c>
      <c r="I11" s="129">
        <v>0.80400000000000005</v>
      </c>
      <c r="J11" s="129">
        <v>0</v>
      </c>
      <c r="K11" s="130">
        <f t="shared" ref="K11:K55" si="0">SUM(J11,H11)</f>
        <v>0.80400000000000005</v>
      </c>
    </row>
    <row r="12" spans="1:11" s="92" customFormat="1" ht="30.6" customHeight="1" x14ac:dyDescent="0.25">
      <c r="A12" s="128">
        <v>3</v>
      </c>
      <c r="B12" s="151" t="s">
        <v>1773</v>
      </c>
      <c r="C12" s="33" t="s">
        <v>38</v>
      </c>
      <c r="D12" s="57" t="s">
        <v>1001</v>
      </c>
      <c r="E12" s="33" t="s">
        <v>1017</v>
      </c>
      <c r="F12" s="58" t="s">
        <v>1051</v>
      </c>
      <c r="G12" s="58">
        <v>3.5</v>
      </c>
      <c r="H12" s="129">
        <v>0</v>
      </c>
      <c r="I12" s="129">
        <v>0</v>
      </c>
      <c r="J12" s="129">
        <v>0.182</v>
      </c>
      <c r="K12" s="130">
        <f t="shared" si="0"/>
        <v>0.182</v>
      </c>
    </row>
    <row r="13" spans="1:11" s="92" customFormat="1" ht="31.5" customHeight="1" x14ac:dyDescent="0.25">
      <c r="A13" s="128">
        <v>4</v>
      </c>
      <c r="B13" s="151" t="s">
        <v>1774</v>
      </c>
      <c r="C13" s="33" t="s">
        <v>39</v>
      </c>
      <c r="D13" s="57" t="s">
        <v>302</v>
      </c>
      <c r="E13" s="33" t="s">
        <v>1017</v>
      </c>
      <c r="F13" s="58" t="s">
        <v>1051</v>
      </c>
      <c r="G13" s="58">
        <v>3</v>
      </c>
      <c r="H13" s="129">
        <v>0.64500000000000002</v>
      </c>
      <c r="I13" s="129">
        <v>0</v>
      </c>
      <c r="J13" s="129">
        <v>0</v>
      </c>
      <c r="K13" s="130">
        <f t="shared" si="0"/>
        <v>0.64500000000000002</v>
      </c>
    </row>
    <row r="14" spans="1:11" s="92" customFormat="1" ht="33.6" customHeight="1" x14ac:dyDescent="0.25">
      <c r="A14" s="128">
        <v>5</v>
      </c>
      <c r="B14" s="151" t="s">
        <v>1775</v>
      </c>
      <c r="C14" s="33" t="s">
        <v>38</v>
      </c>
      <c r="D14" s="57" t="s">
        <v>1002</v>
      </c>
      <c r="E14" s="33" t="s">
        <v>1017</v>
      </c>
      <c r="F14" s="58" t="s">
        <v>1051</v>
      </c>
      <c r="G14" s="58">
        <v>3.5</v>
      </c>
      <c r="H14" s="129">
        <v>0.105</v>
      </c>
      <c r="I14" s="129">
        <v>0</v>
      </c>
      <c r="J14" s="129">
        <v>0</v>
      </c>
      <c r="K14" s="130">
        <f t="shared" si="0"/>
        <v>0.105</v>
      </c>
    </row>
    <row r="15" spans="1:11" s="92" customFormat="1" ht="33" customHeight="1" x14ac:dyDescent="0.25">
      <c r="A15" s="128">
        <v>6</v>
      </c>
      <c r="B15" s="151" t="s">
        <v>1776</v>
      </c>
      <c r="C15" s="33" t="s">
        <v>39</v>
      </c>
      <c r="D15" s="57" t="s">
        <v>303</v>
      </c>
      <c r="E15" s="33" t="s">
        <v>1017</v>
      </c>
      <c r="F15" s="58" t="s">
        <v>1051</v>
      </c>
      <c r="G15" s="58">
        <v>3.5</v>
      </c>
      <c r="H15" s="129">
        <v>0.308</v>
      </c>
      <c r="I15" s="129">
        <v>0.308</v>
      </c>
      <c r="J15" s="129">
        <v>0</v>
      </c>
      <c r="K15" s="130">
        <f t="shared" si="0"/>
        <v>0.308</v>
      </c>
    </row>
    <row r="16" spans="1:11" s="92" customFormat="1" ht="33" customHeight="1" x14ac:dyDescent="0.25">
      <c r="A16" s="128">
        <v>7</v>
      </c>
      <c r="B16" s="151" t="s">
        <v>1777</v>
      </c>
      <c r="C16" s="33" t="s">
        <v>39</v>
      </c>
      <c r="D16" s="57" t="s">
        <v>304</v>
      </c>
      <c r="E16" s="33" t="s">
        <v>1017</v>
      </c>
      <c r="F16" s="58" t="s">
        <v>1051</v>
      </c>
      <c r="G16" s="58">
        <v>3.5</v>
      </c>
      <c r="H16" s="129">
        <v>1.232</v>
      </c>
      <c r="I16" s="129">
        <v>0.85</v>
      </c>
      <c r="J16" s="129">
        <v>0</v>
      </c>
      <c r="K16" s="130">
        <f t="shared" si="0"/>
        <v>1.232</v>
      </c>
    </row>
    <row r="17" spans="1:11" s="92" customFormat="1" ht="39" customHeight="1" x14ac:dyDescent="0.25">
      <c r="A17" s="128">
        <v>8</v>
      </c>
      <c r="B17" s="151" t="s">
        <v>1778</v>
      </c>
      <c r="C17" s="33" t="s">
        <v>38</v>
      </c>
      <c r="D17" s="57" t="s">
        <v>1003</v>
      </c>
      <c r="E17" s="33" t="s">
        <v>1017</v>
      </c>
      <c r="F17" s="58" t="s">
        <v>1051</v>
      </c>
      <c r="G17" s="58">
        <v>3.5</v>
      </c>
      <c r="H17" s="129">
        <v>0</v>
      </c>
      <c r="I17" s="129">
        <v>0</v>
      </c>
      <c r="J17" s="129">
        <v>0.50900000000000001</v>
      </c>
      <c r="K17" s="130">
        <f t="shared" si="0"/>
        <v>0.50900000000000001</v>
      </c>
    </row>
    <row r="18" spans="1:11" s="92" customFormat="1" ht="30.6" customHeight="1" x14ac:dyDescent="0.25">
      <c r="A18" s="128">
        <v>9</v>
      </c>
      <c r="B18" s="151" t="s">
        <v>1779</v>
      </c>
      <c r="C18" s="33" t="s">
        <v>38</v>
      </c>
      <c r="D18" s="57" t="s">
        <v>1004</v>
      </c>
      <c r="E18" s="33" t="s">
        <v>1017</v>
      </c>
      <c r="F18" s="58" t="s">
        <v>1051</v>
      </c>
      <c r="G18" s="58">
        <v>3.5</v>
      </c>
      <c r="H18" s="129">
        <v>0.17699999999999999</v>
      </c>
      <c r="I18" s="129">
        <v>8.6999999999999994E-2</v>
      </c>
      <c r="J18" s="129">
        <v>0</v>
      </c>
      <c r="K18" s="130">
        <f t="shared" si="0"/>
        <v>0.17699999999999999</v>
      </c>
    </row>
    <row r="19" spans="1:11" s="92" customFormat="1" ht="35.450000000000003" customHeight="1" x14ac:dyDescent="0.25">
      <c r="A19" s="128">
        <v>10</v>
      </c>
      <c r="B19" s="151" t="s">
        <v>1780</v>
      </c>
      <c r="C19" s="33" t="s">
        <v>39</v>
      </c>
      <c r="D19" s="57" t="s">
        <v>305</v>
      </c>
      <c r="E19" s="33" t="s">
        <v>1017</v>
      </c>
      <c r="F19" s="58" t="s">
        <v>1051</v>
      </c>
      <c r="G19" s="58">
        <v>3.5</v>
      </c>
      <c r="H19" s="129">
        <v>1.014</v>
      </c>
      <c r="I19" s="129">
        <v>1.014</v>
      </c>
      <c r="J19" s="129">
        <v>0</v>
      </c>
      <c r="K19" s="130">
        <f t="shared" si="0"/>
        <v>1.014</v>
      </c>
    </row>
    <row r="20" spans="1:11" s="92" customFormat="1" ht="32.450000000000003" customHeight="1" x14ac:dyDescent="0.25">
      <c r="A20" s="128">
        <v>11</v>
      </c>
      <c r="B20" s="151" t="s">
        <v>1781</v>
      </c>
      <c r="C20" s="33" t="s">
        <v>39</v>
      </c>
      <c r="D20" s="57" t="s">
        <v>306</v>
      </c>
      <c r="E20" s="33" t="s">
        <v>1017</v>
      </c>
      <c r="F20" s="58" t="s">
        <v>1051</v>
      </c>
      <c r="G20" s="58">
        <v>3.5</v>
      </c>
      <c r="H20" s="129">
        <v>1.1200000000000001</v>
      </c>
      <c r="I20" s="129">
        <v>1.1200000000000001</v>
      </c>
      <c r="J20" s="129">
        <v>0</v>
      </c>
      <c r="K20" s="130">
        <f t="shared" si="0"/>
        <v>1.1200000000000001</v>
      </c>
    </row>
    <row r="21" spans="1:11" s="92" customFormat="1" ht="31.9" customHeight="1" x14ac:dyDescent="0.25">
      <c r="A21" s="128">
        <v>12</v>
      </c>
      <c r="B21" s="151" t="s">
        <v>1782</v>
      </c>
      <c r="C21" s="33" t="s">
        <v>39</v>
      </c>
      <c r="D21" s="57" t="s">
        <v>307</v>
      </c>
      <c r="E21" s="33" t="s">
        <v>1017</v>
      </c>
      <c r="F21" s="58" t="s">
        <v>1051</v>
      </c>
      <c r="G21" s="58">
        <v>3.5</v>
      </c>
      <c r="H21" s="129">
        <v>1.19</v>
      </c>
      <c r="I21" s="129">
        <v>1.19</v>
      </c>
      <c r="J21" s="129">
        <v>0</v>
      </c>
      <c r="K21" s="130">
        <f t="shared" si="0"/>
        <v>1.19</v>
      </c>
    </row>
    <row r="22" spans="1:11" s="92" customFormat="1" ht="33" customHeight="1" x14ac:dyDescent="0.25">
      <c r="A22" s="128">
        <v>13</v>
      </c>
      <c r="B22" s="151" t="s">
        <v>1783</v>
      </c>
      <c r="C22" s="33" t="s">
        <v>39</v>
      </c>
      <c r="D22" s="57" t="s">
        <v>308</v>
      </c>
      <c r="E22" s="33" t="s">
        <v>1017</v>
      </c>
      <c r="F22" s="58" t="s">
        <v>1051</v>
      </c>
      <c r="G22" s="58">
        <v>3.5</v>
      </c>
      <c r="H22" s="129">
        <v>1.1000000000000001</v>
      </c>
      <c r="I22" s="129">
        <v>1.1000000000000001</v>
      </c>
      <c r="J22" s="129">
        <v>0</v>
      </c>
      <c r="K22" s="130">
        <f t="shared" si="0"/>
        <v>1.1000000000000001</v>
      </c>
    </row>
    <row r="23" spans="1:11" s="92" customFormat="1" ht="35.450000000000003" customHeight="1" x14ac:dyDescent="0.25">
      <c r="A23" s="128">
        <v>14</v>
      </c>
      <c r="B23" s="151" t="s">
        <v>1784</v>
      </c>
      <c r="C23" s="33" t="s">
        <v>38</v>
      </c>
      <c r="D23" s="57" t="s">
        <v>1005</v>
      </c>
      <c r="E23" s="33" t="s">
        <v>1017</v>
      </c>
      <c r="F23" s="58" t="s">
        <v>1051</v>
      </c>
      <c r="G23" s="58">
        <v>3.5</v>
      </c>
      <c r="H23" s="129">
        <v>0</v>
      </c>
      <c r="I23" s="129">
        <v>0</v>
      </c>
      <c r="J23" s="129">
        <v>0.16</v>
      </c>
      <c r="K23" s="130">
        <f t="shared" si="0"/>
        <v>0.16</v>
      </c>
    </row>
    <row r="24" spans="1:11" s="92" customFormat="1" ht="35.450000000000003" customHeight="1" x14ac:dyDescent="0.25">
      <c r="A24" s="128">
        <v>15</v>
      </c>
      <c r="B24" s="151" t="s">
        <v>1785</v>
      </c>
      <c r="C24" s="33" t="s">
        <v>38</v>
      </c>
      <c r="D24" s="57" t="s">
        <v>1006</v>
      </c>
      <c r="E24" s="33" t="s">
        <v>1017</v>
      </c>
      <c r="F24" s="58" t="s">
        <v>1051</v>
      </c>
      <c r="G24" s="58">
        <v>3.5</v>
      </c>
      <c r="H24" s="129">
        <v>0</v>
      </c>
      <c r="I24" s="129">
        <v>0</v>
      </c>
      <c r="J24" s="129">
        <v>0.22500000000000001</v>
      </c>
      <c r="K24" s="130">
        <f t="shared" si="0"/>
        <v>0.22500000000000001</v>
      </c>
    </row>
    <row r="25" spans="1:11" s="92" customFormat="1" ht="37.5" customHeight="1" x14ac:dyDescent="0.25">
      <c r="A25" s="128">
        <v>16</v>
      </c>
      <c r="B25" s="151" t="s">
        <v>1786</v>
      </c>
      <c r="C25" s="33" t="s">
        <v>38</v>
      </c>
      <c r="D25" s="57" t="s">
        <v>1005</v>
      </c>
      <c r="E25" s="33" t="s">
        <v>1017</v>
      </c>
      <c r="F25" s="58" t="s">
        <v>1051</v>
      </c>
      <c r="G25" s="58">
        <v>3.5</v>
      </c>
      <c r="H25" s="129">
        <v>0</v>
      </c>
      <c r="I25" s="129">
        <v>0</v>
      </c>
      <c r="J25" s="129">
        <v>0.23</v>
      </c>
      <c r="K25" s="130">
        <f t="shared" si="0"/>
        <v>0.23</v>
      </c>
    </row>
    <row r="26" spans="1:11" s="92" customFormat="1" ht="38.25" customHeight="1" x14ac:dyDescent="0.25">
      <c r="A26" s="128">
        <v>17</v>
      </c>
      <c r="B26" s="151" t="s">
        <v>1787</v>
      </c>
      <c r="C26" s="33" t="s">
        <v>38</v>
      </c>
      <c r="D26" s="57" t="s">
        <v>1007</v>
      </c>
      <c r="E26" s="33" t="s">
        <v>1017</v>
      </c>
      <c r="F26" s="58" t="s">
        <v>1051</v>
      </c>
      <c r="G26" s="58">
        <v>3.5</v>
      </c>
      <c r="H26" s="129">
        <v>0</v>
      </c>
      <c r="I26" s="129">
        <v>0</v>
      </c>
      <c r="J26" s="129">
        <v>0.17</v>
      </c>
      <c r="K26" s="130">
        <f t="shared" si="0"/>
        <v>0.17</v>
      </c>
    </row>
    <row r="27" spans="1:11" s="92" customFormat="1" ht="38.25" customHeight="1" x14ac:dyDescent="0.25">
      <c r="A27" s="128">
        <v>18</v>
      </c>
      <c r="B27" s="151" t="s">
        <v>1788</v>
      </c>
      <c r="C27" s="33" t="s">
        <v>38</v>
      </c>
      <c r="D27" s="57" t="s">
        <v>1008</v>
      </c>
      <c r="E27" s="33" t="s">
        <v>1017</v>
      </c>
      <c r="F27" s="58" t="s">
        <v>1051</v>
      </c>
      <c r="G27" s="58">
        <v>3.5</v>
      </c>
      <c r="H27" s="129">
        <v>0</v>
      </c>
      <c r="I27" s="129">
        <v>0</v>
      </c>
      <c r="J27" s="129">
        <v>0.246</v>
      </c>
      <c r="K27" s="130">
        <f t="shared" si="0"/>
        <v>0.246</v>
      </c>
    </row>
    <row r="28" spans="1:11" s="92" customFormat="1" ht="35.25" customHeight="1" x14ac:dyDescent="0.25">
      <c r="A28" s="128">
        <v>19</v>
      </c>
      <c r="B28" s="151" t="s">
        <v>1789</v>
      </c>
      <c r="C28" s="33" t="s">
        <v>38</v>
      </c>
      <c r="D28" s="57" t="s">
        <v>1009</v>
      </c>
      <c r="E28" s="33" t="s">
        <v>1017</v>
      </c>
      <c r="F28" s="58" t="s">
        <v>1051</v>
      </c>
      <c r="G28" s="58">
        <v>3.5</v>
      </c>
      <c r="H28" s="129">
        <v>0.221</v>
      </c>
      <c r="I28" s="129">
        <v>0</v>
      </c>
      <c r="J28" s="129">
        <v>0</v>
      </c>
      <c r="K28" s="130">
        <f t="shared" si="0"/>
        <v>0.221</v>
      </c>
    </row>
    <row r="29" spans="1:11" s="92" customFormat="1" ht="32.25" customHeight="1" x14ac:dyDescent="0.25">
      <c r="A29" s="128">
        <v>20</v>
      </c>
      <c r="B29" s="151" t="s">
        <v>1790</v>
      </c>
      <c r="C29" s="33" t="s">
        <v>38</v>
      </c>
      <c r="D29" s="57" t="s">
        <v>1010</v>
      </c>
      <c r="E29" s="33" t="s">
        <v>1017</v>
      </c>
      <c r="F29" s="58" t="s">
        <v>1051</v>
      </c>
      <c r="G29" s="58">
        <v>3.5</v>
      </c>
      <c r="H29" s="129">
        <v>0.24</v>
      </c>
      <c r="I29" s="129">
        <v>0</v>
      </c>
      <c r="J29" s="129">
        <v>0</v>
      </c>
      <c r="K29" s="130">
        <f t="shared" si="0"/>
        <v>0.24</v>
      </c>
    </row>
    <row r="30" spans="1:11" s="92" customFormat="1" ht="34.9" customHeight="1" x14ac:dyDescent="0.25">
      <c r="A30" s="128">
        <v>21</v>
      </c>
      <c r="B30" s="151" t="s">
        <v>1791</v>
      </c>
      <c r="C30" s="33" t="s">
        <v>38</v>
      </c>
      <c r="D30" s="57" t="s">
        <v>1011</v>
      </c>
      <c r="E30" s="33" t="s">
        <v>1017</v>
      </c>
      <c r="F30" s="58" t="s">
        <v>1051</v>
      </c>
      <c r="G30" s="58">
        <v>3.5</v>
      </c>
      <c r="H30" s="129">
        <v>0.216</v>
      </c>
      <c r="I30" s="129">
        <v>0</v>
      </c>
      <c r="J30" s="129">
        <v>0</v>
      </c>
      <c r="K30" s="130">
        <f t="shared" si="0"/>
        <v>0.216</v>
      </c>
    </row>
    <row r="31" spans="1:11" s="92" customFormat="1" ht="34.9" customHeight="1" x14ac:dyDescent="0.25">
      <c r="A31" s="128">
        <v>22</v>
      </c>
      <c r="B31" s="151" t="s">
        <v>1792</v>
      </c>
      <c r="C31" s="33" t="s">
        <v>39</v>
      </c>
      <c r="D31" s="57" t="s">
        <v>309</v>
      </c>
      <c r="E31" s="33" t="s">
        <v>1017</v>
      </c>
      <c r="F31" s="58" t="s">
        <v>1051</v>
      </c>
      <c r="G31" s="58">
        <v>3.5</v>
      </c>
      <c r="H31" s="129">
        <v>0.23799999999999999</v>
      </c>
      <c r="I31" s="129">
        <v>0.23799999999999999</v>
      </c>
      <c r="J31" s="129">
        <v>0</v>
      </c>
      <c r="K31" s="130">
        <f t="shared" si="0"/>
        <v>0.23799999999999999</v>
      </c>
    </row>
    <row r="32" spans="1:11" s="92" customFormat="1" ht="28.15" customHeight="1" x14ac:dyDescent="0.25">
      <c r="A32" s="128">
        <v>23</v>
      </c>
      <c r="B32" s="151" t="s">
        <v>1793</v>
      </c>
      <c r="C32" s="33" t="s">
        <v>39</v>
      </c>
      <c r="D32" s="57" t="s">
        <v>310</v>
      </c>
      <c r="E32" s="33" t="s">
        <v>1017</v>
      </c>
      <c r="F32" s="58" t="s">
        <v>1051</v>
      </c>
      <c r="G32" s="58">
        <v>3.5</v>
      </c>
      <c r="H32" s="129">
        <v>1.35</v>
      </c>
      <c r="I32" s="129">
        <v>0.55700000000000005</v>
      </c>
      <c r="J32" s="129">
        <v>0</v>
      </c>
      <c r="K32" s="130">
        <f t="shared" si="0"/>
        <v>1.35</v>
      </c>
    </row>
    <row r="33" spans="1:11" s="92" customFormat="1" ht="27.6" customHeight="1" x14ac:dyDescent="0.25">
      <c r="A33" s="128">
        <v>24</v>
      </c>
      <c r="B33" s="151" t="s">
        <v>1794</v>
      </c>
      <c r="C33" s="33" t="s">
        <v>39</v>
      </c>
      <c r="D33" s="57" t="s">
        <v>311</v>
      </c>
      <c r="E33" s="33" t="s">
        <v>1017</v>
      </c>
      <c r="F33" s="58" t="s">
        <v>1051</v>
      </c>
      <c r="G33" s="58">
        <v>3.5</v>
      </c>
      <c r="H33" s="129">
        <f>0.757+0.535</f>
        <v>1.292</v>
      </c>
      <c r="I33" s="129">
        <v>0.75700000000000001</v>
      </c>
      <c r="J33" s="129">
        <v>0</v>
      </c>
      <c r="K33" s="130">
        <f t="shared" si="0"/>
        <v>1.292</v>
      </c>
    </row>
    <row r="34" spans="1:11" s="92" customFormat="1" ht="34.5" customHeight="1" x14ac:dyDescent="0.25">
      <c r="A34" s="128">
        <v>25</v>
      </c>
      <c r="B34" s="151" t="s">
        <v>1795</v>
      </c>
      <c r="C34" s="33" t="s">
        <v>39</v>
      </c>
      <c r="D34" s="57" t="s">
        <v>312</v>
      </c>
      <c r="E34" s="33" t="s">
        <v>1017</v>
      </c>
      <c r="F34" s="58" t="s">
        <v>1051</v>
      </c>
      <c r="G34" s="58">
        <v>3.5</v>
      </c>
      <c r="H34" s="129">
        <v>0.58799999999999997</v>
      </c>
      <c r="I34" s="129">
        <v>0</v>
      </c>
      <c r="J34" s="129">
        <v>0</v>
      </c>
      <c r="K34" s="130">
        <f t="shared" si="0"/>
        <v>0.58799999999999997</v>
      </c>
    </row>
    <row r="35" spans="1:11" s="92" customFormat="1" ht="36" customHeight="1" x14ac:dyDescent="0.25">
      <c r="A35" s="128">
        <v>26</v>
      </c>
      <c r="B35" s="151" t="s">
        <v>1796</v>
      </c>
      <c r="C35" s="33" t="s">
        <v>38</v>
      </c>
      <c r="D35" s="57" t="s">
        <v>1012</v>
      </c>
      <c r="E35" s="33" t="s">
        <v>1017</v>
      </c>
      <c r="F35" s="58" t="s">
        <v>1051</v>
      </c>
      <c r="G35" s="58">
        <v>3.5</v>
      </c>
      <c r="H35" s="129">
        <v>0</v>
      </c>
      <c r="I35" s="129">
        <v>0</v>
      </c>
      <c r="J35" s="129">
        <v>0.27</v>
      </c>
      <c r="K35" s="130">
        <f t="shared" si="0"/>
        <v>0.27</v>
      </c>
    </row>
    <row r="36" spans="1:11" s="92" customFormat="1" ht="39" customHeight="1" x14ac:dyDescent="0.25">
      <c r="A36" s="128">
        <v>27</v>
      </c>
      <c r="B36" s="151" t="s">
        <v>1797</v>
      </c>
      <c r="C36" s="33" t="s">
        <v>38</v>
      </c>
      <c r="D36" s="57" t="s">
        <v>1013</v>
      </c>
      <c r="E36" s="33" t="s">
        <v>1017</v>
      </c>
      <c r="F36" s="58" t="s">
        <v>1051</v>
      </c>
      <c r="G36" s="58">
        <v>3.5</v>
      </c>
      <c r="H36" s="129">
        <v>0</v>
      </c>
      <c r="I36" s="129">
        <v>0</v>
      </c>
      <c r="J36" s="129">
        <v>0.28100000000000003</v>
      </c>
      <c r="K36" s="130">
        <f t="shared" si="0"/>
        <v>0.28100000000000003</v>
      </c>
    </row>
    <row r="37" spans="1:11" s="92" customFormat="1" ht="34.9" customHeight="1" x14ac:dyDescent="0.25">
      <c r="A37" s="128">
        <v>28</v>
      </c>
      <c r="B37" s="151" t="s">
        <v>1798</v>
      </c>
      <c r="C37" s="33" t="s">
        <v>38</v>
      </c>
      <c r="D37" s="57" t="s">
        <v>313</v>
      </c>
      <c r="E37" s="33" t="s">
        <v>1017</v>
      </c>
      <c r="F37" s="58" t="s">
        <v>1051</v>
      </c>
      <c r="G37" s="58">
        <v>3.5</v>
      </c>
      <c r="H37" s="129">
        <v>0</v>
      </c>
      <c r="I37" s="129">
        <v>0</v>
      </c>
      <c r="J37" s="129">
        <v>0.7</v>
      </c>
      <c r="K37" s="130">
        <f t="shared" si="0"/>
        <v>0.7</v>
      </c>
    </row>
    <row r="38" spans="1:11" s="92" customFormat="1" ht="29.45" customHeight="1" x14ac:dyDescent="0.25">
      <c r="A38" s="128">
        <v>29</v>
      </c>
      <c r="B38" s="151" t="s">
        <v>1799</v>
      </c>
      <c r="C38" s="33" t="s">
        <v>39</v>
      </c>
      <c r="D38" s="57" t="s">
        <v>314</v>
      </c>
      <c r="E38" s="33" t="s">
        <v>1017</v>
      </c>
      <c r="F38" s="58" t="s">
        <v>1051</v>
      </c>
      <c r="G38" s="58">
        <v>3.5</v>
      </c>
      <c r="H38" s="129">
        <v>0.33200000000000002</v>
      </c>
      <c r="I38" s="129">
        <v>0</v>
      </c>
      <c r="J38" s="129">
        <v>0</v>
      </c>
      <c r="K38" s="130">
        <f t="shared" si="0"/>
        <v>0.33200000000000002</v>
      </c>
    </row>
    <row r="39" spans="1:11" s="92" customFormat="1" ht="33.6" customHeight="1" x14ac:dyDescent="0.25">
      <c r="A39" s="128">
        <v>30</v>
      </c>
      <c r="B39" s="151" t="s">
        <v>1800</v>
      </c>
      <c r="C39" s="33" t="s">
        <v>39</v>
      </c>
      <c r="D39" s="57" t="s">
        <v>315</v>
      </c>
      <c r="E39" s="33" t="s">
        <v>1017</v>
      </c>
      <c r="F39" s="58" t="s">
        <v>1051</v>
      </c>
      <c r="G39" s="58">
        <v>4</v>
      </c>
      <c r="H39" s="129">
        <v>1.4319999999999999</v>
      </c>
      <c r="I39" s="129">
        <v>0.25800000000000001</v>
      </c>
      <c r="J39" s="129">
        <v>0</v>
      </c>
      <c r="K39" s="130">
        <f t="shared" si="0"/>
        <v>1.4319999999999999</v>
      </c>
    </row>
    <row r="40" spans="1:11" s="92" customFormat="1" ht="25.15" customHeight="1" x14ac:dyDescent="0.25">
      <c r="A40" s="128">
        <v>31</v>
      </c>
      <c r="B40" s="151" t="s">
        <v>1801</v>
      </c>
      <c r="C40" s="33" t="s">
        <v>39</v>
      </c>
      <c r="D40" s="57" t="s">
        <v>316</v>
      </c>
      <c r="E40" s="33" t="s">
        <v>1017</v>
      </c>
      <c r="F40" s="58" t="s">
        <v>1051</v>
      </c>
      <c r="G40" s="58">
        <v>4</v>
      </c>
      <c r="H40" s="129">
        <v>1.5</v>
      </c>
      <c r="I40" s="129">
        <v>0.7</v>
      </c>
      <c r="J40" s="129">
        <v>0</v>
      </c>
      <c r="K40" s="130">
        <f t="shared" si="0"/>
        <v>1.5</v>
      </c>
    </row>
    <row r="41" spans="1:11" s="92" customFormat="1" ht="30" customHeight="1" x14ac:dyDescent="0.25">
      <c r="A41" s="128">
        <v>32</v>
      </c>
      <c r="B41" s="151" t="s">
        <v>1802</v>
      </c>
      <c r="C41" s="33" t="s">
        <v>39</v>
      </c>
      <c r="D41" s="57" t="s">
        <v>1618</v>
      </c>
      <c r="E41" s="33" t="s">
        <v>1017</v>
      </c>
      <c r="F41" s="58" t="s">
        <v>1051</v>
      </c>
      <c r="G41" s="58">
        <v>3.5</v>
      </c>
      <c r="H41" s="129">
        <v>0.39900000000000002</v>
      </c>
      <c r="I41" s="129">
        <v>0</v>
      </c>
      <c r="J41" s="129">
        <v>0</v>
      </c>
      <c r="K41" s="130">
        <f t="shared" si="0"/>
        <v>0.39900000000000002</v>
      </c>
    </row>
    <row r="42" spans="1:11" s="92" customFormat="1" ht="33" customHeight="1" x14ac:dyDescent="0.25">
      <c r="A42" s="128">
        <v>33</v>
      </c>
      <c r="B42" s="151" t="s">
        <v>1803</v>
      </c>
      <c r="C42" s="33" t="s">
        <v>39</v>
      </c>
      <c r="D42" s="57" t="s">
        <v>317</v>
      </c>
      <c r="E42" s="33" t="s">
        <v>1017</v>
      </c>
      <c r="F42" s="58" t="s">
        <v>1051</v>
      </c>
      <c r="G42" s="58">
        <v>3.5</v>
      </c>
      <c r="H42" s="129">
        <v>0.71199999999999997</v>
      </c>
      <c r="I42" s="129">
        <v>0.71199999999999997</v>
      </c>
      <c r="J42" s="129">
        <v>0</v>
      </c>
      <c r="K42" s="130">
        <f t="shared" si="0"/>
        <v>0.71199999999999997</v>
      </c>
    </row>
    <row r="43" spans="1:11" s="92" customFormat="1" ht="33.6" customHeight="1" x14ac:dyDescent="0.25">
      <c r="A43" s="128">
        <v>34</v>
      </c>
      <c r="B43" s="151" t="s">
        <v>1804</v>
      </c>
      <c r="C43" s="33" t="s">
        <v>38</v>
      </c>
      <c r="D43" s="57" t="s">
        <v>1015</v>
      </c>
      <c r="E43" s="33" t="s">
        <v>1017</v>
      </c>
      <c r="F43" s="58" t="s">
        <v>1051</v>
      </c>
      <c r="G43" s="58">
        <v>3.5</v>
      </c>
      <c r="H43" s="129">
        <v>0.26400000000000001</v>
      </c>
      <c r="I43" s="129">
        <v>0</v>
      </c>
      <c r="J43" s="129">
        <v>0</v>
      </c>
      <c r="K43" s="130">
        <f t="shared" si="0"/>
        <v>0.26400000000000001</v>
      </c>
    </row>
    <row r="44" spans="1:11" s="92" customFormat="1" ht="31.9" customHeight="1" x14ac:dyDescent="0.25">
      <c r="A44" s="128">
        <v>35</v>
      </c>
      <c r="B44" s="151" t="s">
        <v>1805</v>
      </c>
      <c r="C44" s="33" t="s">
        <v>38</v>
      </c>
      <c r="D44" s="57" t="s">
        <v>1016</v>
      </c>
      <c r="E44" s="33" t="s">
        <v>1017</v>
      </c>
      <c r="F44" s="58" t="s">
        <v>1051</v>
      </c>
      <c r="G44" s="58">
        <v>3.5</v>
      </c>
      <c r="H44" s="129">
        <v>0</v>
      </c>
      <c r="I44" s="129">
        <v>0</v>
      </c>
      <c r="J44" s="129">
        <v>0.128</v>
      </c>
      <c r="K44" s="130">
        <f t="shared" si="0"/>
        <v>0.128</v>
      </c>
    </row>
    <row r="45" spans="1:11" s="92" customFormat="1" ht="38.25" customHeight="1" x14ac:dyDescent="0.25">
      <c r="A45" s="128">
        <v>36</v>
      </c>
      <c r="B45" s="151" t="s">
        <v>1806</v>
      </c>
      <c r="C45" s="33" t="s">
        <v>39</v>
      </c>
      <c r="D45" s="57" t="s">
        <v>318</v>
      </c>
      <c r="E45" s="33" t="s">
        <v>1017</v>
      </c>
      <c r="F45" s="58" t="s">
        <v>1051</v>
      </c>
      <c r="G45" s="58">
        <v>4.5</v>
      </c>
      <c r="H45" s="129">
        <v>1.8149999999999999</v>
      </c>
      <c r="I45" s="129">
        <v>1.8149999999999999</v>
      </c>
      <c r="J45" s="129">
        <v>0</v>
      </c>
      <c r="K45" s="130">
        <f t="shared" si="0"/>
        <v>1.8149999999999999</v>
      </c>
    </row>
    <row r="46" spans="1:11" s="92" customFormat="1" ht="48" customHeight="1" x14ac:dyDescent="0.25">
      <c r="A46" s="128">
        <v>37</v>
      </c>
      <c r="B46" s="151" t="s">
        <v>1807</v>
      </c>
      <c r="C46" s="33" t="s">
        <v>38</v>
      </c>
      <c r="D46" s="57" t="s">
        <v>327</v>
      </c>
      <c r="E46" s="33" t="s">
        <v>1017</v>
      </c>
      <c r="F46" s="58" t="s">
        <v>1051</v>
      </c>
      <c r="G46" s="58">
        <v>3.5</v>
      </c>
      <c r="H46" s="129">
        <v>1.4450000000000001</v>
      </c>
      <c r="I46" s="129">
        <v>0</v>
      </c>
      <c r="J46" s="129">
        <v>0</v>
      </c>
      <c r="K46" s="130">
        <f t="shared" si="0"/>
        <v>1.4450000000000001</v>
      </c>
    </row>
    <row r="47" spans="1:11" s="92" customFormat="1" ht="46.9" customHeight="1" x14ac:dyDescent="0.25">
      <c r="A47" s="128">
        <v>38</v>
      </c>
      <c r="B47" s="151" t="s">
        <v>1808</v>
      </c>
      <c r="C47" s="33" t="s">
        <v>38</v>
      </c>
      <c r="D47" s="57" t="s">
        <v>319</v>
      </c>
      <c r="E47" s="33" t="s">
        <v>1017</v>
      </c>
      <c r="F47" s="58" t="s">
        <v>1051</v>
      </c>
      <c r="G47" s="58">
        <v>3.5</v>
      </c>
      <c r="H47" s="129">
        <v>0</v>
      </c>
      <c r="I47" s="129">
        <v>0</v>
      </c>
      <c r="J47" s="129">
        <v>4.1749999999999998</v>
      </c>
      <c r="K47" s="130">
        <f t="shared" si="0"/>
        <v>4.1749999999999998</v>
      </c>
    </row>
    <row r="48" spans="1:11" s="92" customFormat="1" ht="32.25" customHeight="1" x14ac:dyDescent="0.25">
      <c r="A48" s="128">
        <v>39</v>
      </c>
      <c r="B48" s="151" t="s">
        <v>1809</v>
      </c>
      <c r="C48" s="33" t="s">
        <v>38</v>
      </c>
      <c r="D48" s="57" t="s">
        <v>320</v>
      </c>
      <c r="E48" s="33" t="s">
        <v>1017</v>
      </c>
      <c r="F48" s="58" t="s">
        <v>1051</v>
      </c>
      <c r="G48" s="58">
        <v>3.5</v>
      </c>
      <c r="H48" s="129">
        <v>0</v>
      </c>
      <c r="I48" s="129">
        <v>0</v>
      </c>
      <c r="J48" s="129">
        <v>6.234</v>
      </c>
      <c r="K48" s="130">
        <f t="shared" si="0"/>
        <v>6.234</v>
      </c>
    </row>
    <row r="49" spans="1:11" s="92" customFormat="1" ht="33.75" customHeight="1" x14ac:dyDescent="0.25">
      <c r="A49" s="128">
        <v>40</v>
      </c>
      <c r="B49" s="151" t="s">
        <v>1810</v>
      </c>
      <c r="C49" s="33" t="s">
        <v>38</v>
      </c>
      <c r="D49" s="57" t="s">
        <v>321</v>
      </c>
      <c r="E49" s="33" t="s">
        <v>1017</v>
      </c>
      <c r="F49" s="58" t="s">
        <v>1051</v>
      </c>
      <c r="G49" s="58">
        <v>3.5</v>
      </c>
      <c r="H49" s="129">
        <v>0</v>
      </c>
      <c r="I49" s="129">
        <v>0</v>
      </c>
      <c r="J49" s="129">
        <v>4.92</v>
      </c>
      <c r="K49" s="130">
        <f t="shared" si="0"/>
        <v>4.92</v>
      </c>
    </row>
    <row r="50" spans="1:11" s="92" customFormat="1" ht="41.25" customHeight="1" x14ac:dyDescent="0.25">
      <c r="A50" s="128">
        <v>41</v>
      </c>
      <c r="B50" s="151" t="s">
        <v>1811</v>
      </c>
      <c r="C50" s="33" t="s">
        <v>38</v>
      </c>
      <c r="D50" s="57" t="s">
        <v>322</v>
      </c>
      <c r="E50" s="33" t="s">
        <v>1017</v>
      </c>
      <c r="F50" s="58" t="s">
        <v>1051</v>
      </c>
      <c r="G50" s="58">
        <v>3.5</v>
      </c>
      <c r="H50" s="129">
        <v>0</v>
      </c>
      <c r="I50" s="129">
        <v>0</v>
      </c>
      <c r="J50" s="129">
        <v>3.54</v>
      </c>
      <c r="K50" s="130">
        <f t="shared" si="0"/>
        <v>3.54</v>
      </c>
    </row>
    <row r="51" spans="1:11" s="92" customFormat="1" ht="33" customHeight="1" x14ac:dyDescent="0.25">
      <c r="A51" s="128">
        <v>42</v>
      </c>
      <c r="B51" s="151" t="s">
        <v>1812</v>
      </c>
      <c r="C51" s="33" t="s">
        <v>38</v>
      </c>
      <c r="D51" s="57" t="s">
        <v>323</v>
      </c>
      <c r="E51" s="33" t="s">
        <v>1017</v>
      </c>
      <c r="F51" s="58" t="s">
        <v>1051</v>
      </c>
      <c r="G51" s="58">
        <v>3.5</v>
      </c>
      <c r="H51" s="129">
        <v>0</v>
      </c>
      <c r="I51" s="129">
        <v>0</v>
      </c>
      <c r="J51" s="129">
        <v>1.716</v>
      </c>
      <c r="K51" s="130">
        <f t="shared" si="0"/>
        <v>1.716</v>
      </c>
    </row>
    <row r="52" spans="1:11" s="92" customFormat="1" ht="34.5" customHeight="1" x14ac:dyDescent="0.25">
      <c r="A52" s="128">
        <v>43</v>
      </c>
      <c r="B52" s="151" t="s">
        <v>1813</v>
      </c>
      <c r="C52" s="33" t="s">
        <v>38</v>
      </c>
      <c r="D52" s="57" t="s">
        <v>324</v>
      </c>
      <c r="E52" s="33" t="s">
        <v>1017</v>
      </c>
      <c r="F52" s="58" t="s">
        <v>1051</v>
      </c>
      <c r="G52" s="58">
        <v>3.5</v>
      </c>
      <c r="H52" s="129">
        <v>0</v>
      </c>
      <c r="I52" s="129">
        <v>0</v>
      </c>
      <c r="J52" s="129">
        <v>1.7829999999999999</v>
      </c>
      <c r="K52" s="130">
        <f t="shared" si="0"/>
        <v>1.7829999999999999</v>
      </c>
    </row>
    <row r="53" spans="1:11" s="92" customFormat="1" ht="44.25" customHeight="1" x14ac:dyDescent="0.25">
      <c r="A53" s="128">
        <v>44</v>
      </c>
      <c r="B53" s="151" t="s">
        <v>1814</v>
      </c>
      <c r="C53" s="33" t="s">
        <v>38</v>
      </c>
      <c r="D53" s="57" t="s">
        <v>325</v>
      </c>
      <c r="E53" s="33" t="s">
        <v>1017</v>
      </c>
      <c r="F53" s="58" t="s">
        <v>1051</v>
      </c>
      <c r="G53" s="58">
        <v>3.5</v>
      </c>
      <c r="H53" s="129">
        <v>0</v>
      </c>
      <c r="I53" s="129">
        <v>0</v>
      </c>
      <c r="J53" s="129">
        <v>1.1439999999999999</v>
      </c>
      <c r="K53" s="130">
        <f t="shared" si="0"/>
        <v>1.1439999999999999</v>
      </c>
    </row>
    <row r="54" spans="1:11" s="92" customFormat="1" ht="35.450000000000003" customHeight="1" x14ac:dyDescent="0.25">
      <c r="A54" s="128">
        <v>45</v>
      </c>
      <c r="B54" s="151" t="s">
        <v>1815</v>
      </c>
      <c r="C54" s="33" t="s">
        <v>38</v>
      </c>
      <c r="D54" s="57" t="s">
        <v>326</v>
      </c>
      <c r="E54" s="33" t="s">
        <v>1017</v>
      </c>
      <c r="F54" s="58" t="s">
        <v>1051</v>
      </c>
      <c r="G54" s="58">
        <v>3.5</v>
      </c>
      <c r="H54" s="129">
        <v>0</v>
      </c>
      <c r="I54" s="129">
        <v>0</v>
      </c>
      <c r="J54" s="129">
        <v>1.371</v>
      </c>
      <c r="K54" s="130">
        <f t="shared" si="0"/>
        <v>1.371</v>
      </c>
    </row>
    <row r="55" spans="1:11" s="92" customFormat="1" ht="40.15" customHeight="1" x14ac:dyDescent="0.25">
      <c r="A55" s="128">
        <v>46</v>
      </c>
      <c r="B55" s="151" t="s">
        <v>1816</v>
      </c>
      <c r="C55" s="33" t="s">
        <v>38</v>
      </c>
      <c r="D55" s="57" t="s">
        <v>1014</v>
      </c>
      <c r="E55" s="33" t="s">
        <v>1017</v>
      </c>
      <c r="F55" s="58" t="s">
        <v>1051</v>
      </c>
      <c r="G55" s="58">
        <v>3.5</v>
      </c>
      <c r="H55" s="129">
        <v>0</v>
      </c>
      <c r="I55" s="129">
        <v>0</v>
      </c>
      <c r="J55" s="129">
        <v>11.888999999999999</v>
      </c>
      <c r="K55" s="130">
        <f t="shared" si="0"/>
        <v>11.888999999999999</v>
      </c>
    </row>
    <row r="56" spans="1:11" s="92" customFormat="1" ht="23.25" customHeight="1" x14ac:dyDescent="0.25">
      <c r="A56" s="93"/>
      <c r="B56" s="95"/>
      <c r="C56" s="96"/>
      <c r="D56" s="97"/>
      <c r="E56" s="96"/>
      <c r="F56" s="98"/>
      <c r="G56" s="98"/>
      <c r="H56" s="99"/>
      <c r="I56" s="99"/>
      <c r="J56" s="99"/>
      <c r="K56" s="94"/>
    </row>
    <row r="57" spans="1:11" s="92" customFormat="1" ht="23.25" customHeight="1" x14ac:dyDescent="0.25">
      <c r="A57" s="93"/>
      <c r="B57" s="95"/>
      <c r="C57" s="96"/>
      <c r="D57" s="97"/>
      <c r="E57" s="96"/>
      <c r="F57" s="98"/>
      <c r="G57" s="98"/>
      <c r="H57" s="99"/>
      <c r="I57" s="99"/>
      <c r="J57" s="99"/>
      <c r="K57" s="94"/>
    </row>
    <row r="58" spans="1:11" s="92" customFormat="1" ht="23.25" customHeight="1" x14ac:dyDescent="0.25">
      <c r="A58" s="93"/>
      <c r="B58" s="95"/>
      <c r="C58" s="96"/>
      <c r="D58" s="97"/>
      <c r="E58" s="96"/>
      <c r="F58" s="98"/>
      <c r="G58" s="98"/>
      <c r="H58" s="99"/>
      <c r="I58" s="99"/>
      <c r="J58" s="99"/>
      <c r="K58" s="94"/>
    </row>
    <row r="59" spans="1:11" s="92" customFormat="1" ht="23.25" customHeight="1" x14ac:dyDescent="0.25">
      <c r="A59" s="93"/>
      <c r="B59" s="95"/>
      <c r="C59" s="96"/>
      <c r="D59" s="97"/>
      <c r="E59" s="96"/>
      <c r="F59" s="98"/>
      <c r="G59" s="98"/>
      <c r="H59" s="99"/>
      <c r="I59" s="99"/>
      <c r="J59" s="99"/>
      <c r="K59" s="94"/>
    </row>
    <row r="60" spans="1:11" s="92" customFormat="1" ht="23.25" customHeight="1" x14ac:dyDescent="0.25">
      <c r="A60" s="93"/>
      <c r="B60" s="95"/>
      <c r="C60" s="96"/>
      <c r="D60" s="97"/>
      <c r="E60" s="96"/>
      <c r="F60" s="98"/>
      <c r="G60" s="98"/>
      <c r="H60" s="99"/>
      <c r="I60" s="99"/>
      <c r="J60" s="99"/>
      <c r="K60" s="94"/>
    </row>
    <row r="61" spans="1:11" s="92" customFormat="1" ht="23.25" customHeight="1" x14ac:dyDescent="0.25">
      <c r="A61" s="93"/>
      <c r="B61" s="95"/>
      <c r="C61" s="96"/>
      <c r="D61" s="97"/>
      <c r="E61" s="96"/>
      <c r="F61" s="98"/>
      <c r="G61" s="98"/>
      <c r="H61" s="99"/>
      <c r="I61" s="99"/>
      <c r="J61" s="99"/>
      <c r="K61" s="94"/>
    </row>
    <row r="62" spans="1:11" s="92" customFormat="1" ht="23.25" customHeight="1" x14ac:dyDescent="0.25">
      <c r="A62" s="93"/>
      <c r="B62" s="95"/>
      <c r="C62" s="96"/>
      <c r="D62" s="97"/>
      <c r="E62" s="96"/>
      <c r="F62" s="98"/>
      <c r="G62" s="98"/>
      <c r="H62" s="99"/>
      <c r="I62" s="99"/>
      <c r="J62" s="99"/>
      <c r="K62" s="94"/>
    </row>
    <row r="63" spans="1:11" s="92" customFormat="1" ht="23.25" customHeight="1" x14ac:dyDescent="0.25">
      <c r="A63" s="93"/>
      <c r="B63" s="95"/>
      <c r="C63" s="96"/>
      <c r="D63" s="97"/>
      <c r="E63" s="96"/>
      <c r="F63" s="98"/>
      <c r="G63" s="98"/>
      <c r="H63" s="99"/>
      <c r="I63" s="99"/>
      <c r="J63" s="99"/>
      <c r="K63" s="94"/>
    </row>
    <row r="64" spans="1:11" s="92" customFormat="1" ht="23.25" customHeight="1" x14ac:dyDescent="0.25">
      <c r="A64" s="93"/>
      <c r="B64" s="95"/>
      <c r="C64" s="96"/>
      <c r="D64" s="97"/>
      <c r="E64" s="96"/>
      <c r="F64" s="98"/>
      <c r="G64" s="98"/>
      <c r="H64" s="99"/>
      <c r="I64" s="99"/>
      <c r="J64" s="99"/>
      <c r="K64" s="94"/>
    </row>
    <row r="65" spans="1:11" s="92" customFormat="1" ht="23.25" customHeight="1" x14ac:dyDescent="0.25">
      <c r="A65" s="93"/>
      <c r="B65" s="95"/>
      <c r="C65" s="96"/>
      <c r="D65" s="97"/>
      <c r="E65" s="96"/>
      <c r="F65" s="98"/>
      <c r="G65" s="98"/>
      <c r="H65" s="99"/>
      <c r="I65" s="99"/>
      <c r="J65" s="99"/>
      <c r="K65" s="94"/>
    </row>
    <row r="66" spans="1:11" s="92" customFormat="1" ht="23.25" customHeight="1" x14ac:dyDescent="0.25">
      <c r="A66" s="93"/>
      <c r="B66" s="95"/>
      <c r="C66" s="96"/>
      <c r="D66" s="97"/>
      <c r="E66" s="96"/>
      <c r="F66" s="98"/>
      <c r="G66" s="98"/>
      <c r="H66" s="99"/>
      <c r="I66" s="99"/>
      <c r="J66" s="99"/>
      <c r="K66" s="94"/>
    </row>
    <row r="67" spans="1:11" s="92" customFormat="1" ht="23.25" customHeight="1" x14ac:dyDescent="0.25">
      <c r="A67" s="93"/>
      <c r="B67" s="95"/>
      <c r="C67" s="96"/>
      <c r="D67" s="97"/>
      <c r="E67" s="96"/>
      <c r="F67" s="98"/>
      <c r="G67" s="98"/>
      <c r="H67" s="99"/>
      <c r="I67" s="99"/>
      <c r="J67" s="99"/>
      <c r="K67" s="94"/>
    </row>
    <row r="68" spans="1:11" s="92" customFormat="1" ht="23.25" customHeight="1" x14ac:dyDescent="0.25">
      <c r="A68" s="93"/>
      <c r="B68" s="95"/>
      <c r="C68" s="96"/>
      <c r="D68" s="97"/>
      <c r="E68" s="96"/>
      <c r="F68" s="98"/>
      <c r="G68" s="98"/>
      <c r="H68" s="99"/>
      <c r="I68" s="99"/>
      <c r="J68" s="99"/>
      <c r="K68" s="94"/>
    </row>
    <row r="69" spans="1:11" s="92" customFormat="1" ht="23.25" customHeight="1" x14ac:dyDescent="0.25">
      <c r="A69" s="93"/>
      <c r="B69" s="95"/>
      <c r="C69" s="96"/>
      <c r="D69" s="97"/>
      <c r="E69" s="96"/>
      <c r="F69" s="98"/>
      <c r="G69" s="98"/>
      <c r="H69" s="99"/>
      <c r="I69" s="99"/>
      <c r="J69" s="99"/>
      <c r="K69" s="94"/>
    </row>
    <row r="70" spans="1:11" s="92" customFormat="1" ht="23.25" customHeight="1" x14ac:dyDescent="0.25">
      <c r="A70" s="93"/>
      <c r="B70" s="95"/>
      <c r="C70" s="96"/>
      <c r="D70" s="97"/>
      <c r="E70" s="96"/>
      <c r="F70" s="98"/>
      <c r="G70" s="98"/>
      <c r="H70" s="99"/>
      <c r="I70" s="99"/>
      <c r="J70" s="99"/>
      <c r="K70" s="94"/>
    </row>
    <row r="71" spans="1:11" s="92" customFormat="1" ht="23.25" customHeight="1" x14ac:dyDescent="0.25">
      <c r="A71" s="93"/>
      <c r="B71" s="95"/>
      <c r="C71" s="96"/>
      <c r="D71" s="97"/>
      <c r="E71" s="96"/>
      <c r="F71" s="98"/>
      <c r="G71" s="98"/>
      <c r="H71" s="99"/>
      <c r="I71" s="99"/>
      <c r="J71" s="99"/>
      <c r="K71" s="94"/>
    </row>
    <row r="72" spans="1:11" s="92" customFormat="1" ht="23.25" customHeight="1" x14ac:dyDescent="0.25">
      <c r="A72" s="93"/>
      <c r="B72" s="95"/>
      <c r="C72" s="96"/>
      <c r="D72" s="97"/>
      <c r="E72" s="96"/>
      <c r="F72" s="98"/>
      <c r="G72" s="98"/>
      <c r="H72" s="99"/>
      <c r="I72" s="99"/>
      <c r="J72" s="99"/>
      <c r="K72" s="94"/>
    </row>
    <row r="73" spans="1:11" s="92" customFormat="1" ht="23.25" customHeight="1" x14ac:dyDescent="0.25">
      <c r="A73" s="93"/>
      <c r="B73" s="95"/>
      <c r="C73" s="96"/>
      <c r="D73" s="97"/>
      <c r="E73" s="96"/>
      <c r="F73" s="98"/>
      <c r="G73" s="98"/>
      <c r="H73" s="99"/>
      <c r="I73" s="99"/>
      <c r="J73" s="99"/>
      <c r="K73" s="94"/>
    </row>
    <row r="74" spans="1:11" s="92" customFormat="1" ht="23.25" customHeight="1" x14ac:dyDescent="0.25">
      <c r="A74" s="93"/>
      <c r="B74" s="95"/>
      <c r="C74" s="96"/>
      <c r="D74" s="97"/>
      <c r="E74" s="96"/>
      <c r="F74" s="98"/>
      <c r="G74" s="98"/>
      <c r="H74" s="99"/>
      <c r="I74" s="99"/>
      <c r="J74" s="99"/>
      <c r="K74" s="94"/>
    </row>
    <row r="75" spans="1:11" s="92" customFormat="1" ht="23.25" customHeight="1" x14ac:dyDescent="0.25">
      <c r="A75" s="93"/>
      <c r="B75" s="95"/>
      <c r="C75" s="96"/>
      <c r="D75" s="97"/>
      <c r="E75" s="96"/>
      <c r="F75" s="98"/>
      <c r="G75" s="98"/>
      <c r="H75" s="99"/>
      <c r="I75" s="99"/>
      <c r="J75" s="99"/>
      <c r="K75" s="94"/>
    </row>
    <row r="76" spans="1:11" s="92" customFormat="1" ht="23.25" customHeight="1" x14ac:dyDescent="0.25">
      <c r="A76" s="93"/>
      <c r="B76" s="95"/>
      <c r="C76" s="96"/>
      <c r="D76" s="97"/>
      <c r="E76" s="96"/>
      <c r="F76" s="98"/>
      <c r="G76" s="98"/>
      <c r="H76" s="99"/>
      <c r="I76" s="99"/>
      <c r="J76" s="99"/>
      <c r="K76" s="94"/>
    </row>
    <row r="77" spans="1:11" s="92" customFormat="1" ht="23.25" customHeight="1" x14ac:dyDescent="0.25">
      <c r="A77" s="93"/>
      <c r="B77" s="95"/>
      <c r="C77" s="96"/>
      <c r="D77" s="97"/>
      <c r="E77" s="96"/>
      <c r="F77" s="98"/>
      <c r="G77" s="98"/>
      <c r="H77" s="99"/>
      <c r="I77" s="99"/>
      <c r="J77" s="99"/>
      <c r="K77" s="94"/>
    </row>
    <row r="78" spans="1:11" s="92" customFormat="1" ht="23.25" customHeight="1" x14ac:dyDescent="0.25">
      <c r="A78" s="93"/>
      <c r="B78" s="95"/>
      <c r="C78" s="96"/>
      <c r="D78" s="97"/>
      <c r="E78" s="96"/>
      <c r="F78" s="98"/>
      <c r="G78" s="98"/>
      <c r="H78" s="99"/>
      <c r="I78" s="99"/>
      <c r="J78" s="99"/>
      <c r="K78" s="94"/>
    </row>
    <row r="79" spans="1:11" s="92" customFormat="1" ht="23.25" customHeight="1" x14ac:dyDescent="0.25">
      <c r="A79" s="93"/>
      <c r="B79" s="95"/>
      <c r="C79" s="96"/>
      <c r="D79" s="97"/>
      <c r="E79" s="96"/>
      <c r="F79" s="98"/>
      <c r="G79" s="98"/>
      <c r="H79" s="99"/>
      <c r="I79" s="99"/>
      <c r="J79" s="99"/>
      <c r="K79" s="94"/>
    </row>
    <row r="80" spans="1:11" s="92" customFormat="1" ht="23.25" customHeight="1" x14ac:dyDescent="0.25">
      <c r="A80" s="93"/>
      <c r="B80" s="95"/>
      <c r="C80" s="96"/>
      <c r="D80" s="97"/>
      <c r="E80" s="96"/>
      <c r="F80" s="98"/>
      <c r="G80" s="98"/>
      <c r="H80" s="99"/>
      <c r="I80" s="99"/>
      <c r="J80" s="99"/>
      <c r="K80" s="94"/>
    </row>
    <row r="81" spans="1:11" s="92" customFormat="1" ht="23.25" customHeight="1" x14ac:dyDescent="0.25">
      <c r="A81" s="93"/>
      <c r="B81" s="95"/>
      <c r="C81" s="96"/>
      <c r="D81" s="97"/>
      <c r="E81" s="96"/>
      <c r="F81" s="98"/>
      <c r="G81" s="98"/>
      <c r="H81" s="99"/>
      <c r="I81" s="99"/>
      <c r="J81" s="99"/>
      <c r="K81" s="94"/>
    </row>
    <row r="82" spans="1:11" s="92" customFormat="1" ht="23.25" customHeight="1" x14ac:dyDescent="0.25">
      <c r="A82" s="93"/>
      <c r="B82" s="95"/>
      <c r="C82" s="96"/>
      <c r="D82" s="97"/>
      <c r="E82" s="96"/>
      <c r="F82" s="98"/>
      <c r="G82" s="98"/>
      <c r="H82" s="99"/>
      <c r="I82" s="99"/>
      <c r="J82" s="99"/>
      <c r="K82" s="94"/>
    </row>
    <row r="83" spans="1:11" s="92" customFormat="1" ht="23.25" customHeight="1" x14ac:dyDescent="0.25">
      <c r="A83" s="93"/>
      <c r="B83" s="95"/>
      <c r="C83" s="96"/>
      <c r="D83" s="97"/>
      <c r="E83" s="96"/>
      <c r="F83" s="98"/>
      <c r="G83" s="98"/>
      <c r="H83" s="99"/>
      <c r="I83" s="99"/>
      <c r="J83" s="99"/>
      <c r="K83" s="94"/>
    </row>
    <row r="84" spans="1:11" s="92" customFormat="1" ht="23.25" customHeight="1" x14ac:dyDescent="0.25">
      <c r="A84" s="93"/>
      <c r="B84" s="95"/>
      <c r="C84" s="96"/>
      <c r="D84" s="97"/>
      <c r="E84" s="96"/>
      <c r="F84" s="98"/>
      <c r="G84" s="98"/>
      <c r="H84" s="99"/>
      <c r="I84" s="99"/>
      <c r="J84" s="99"/>
      <c r="K84" s="94"/>
    </row>
    <row r="85" spans="1:11" s="92" customFormat="1" ht="23.25" customHeight="1" x14ac:dyDescent="0.25">
      <c r="A85" s="93"/>
      <c r="B85" s="95"/>
      <c r="C85" s="96"/>
      <c r="D85" s="97"/>
      <c r="E85" s="96"/>
      <c r="F85" s="98"/>
      <c r="G85" s="98"/>
      <c r="H85" s="99"/>
      <c r="I85" s="99"/>
      <c r="J85" s="99"/>
      <c r="K85" s="94"/>
    </row>
    <row r="86" spans="1:11" s="92" customFormat="1" ht="23.25" customHeight="1" x14ac:dyDescent="0.25">
      <c r="A86" s="93"/>
      <c r="B86" s="95"/>
      <c r="C86" s="96"/>
      <c r="D86" s="97"/>
      <c r="E86" s="96"/>
      <c r="F86" s="98"/>
      <c r="G86" s="98"/>
      <c r="H86" s="99"/>
      <c r="I86" s="99"/>
      <c r="J86" s="99"/>
      <c r="K86" s="94"/>
    </row>
    <row r="87" spans="1:11" s="92" customFormat="1" ht="23.25" customHeight="1" x14ac:dyDescent="0.25">
      <c r="A87" s="93"/>
      <c r="B87" s="95"/>
      <c r="C87" s="96"/>
      <c r="D87" s="97"/>
      <c r="E87" s="96"/>
      <c r="F87" s="98"/>
      <c r="G87" s="98"/>
      <c r="H87" s="99"/>
      <c r="I87" s="99"/>
      <c r="J87" s="99"/>
      <c r="K87" s="94"/>
    </row>
    <row r="88" spans="1:11" s="92" customFormat="1" ht="23.25" customHeight="1" x14ac:dyDescent="0.25">
      <c r="A88" s="93"/>
      <c r="B88" s="95"/>
      <c r="C88" s="96"/>
      <c r="D88" s="97"/>
      <c r="E88" s="96"/>
      <c r="F88" s="98"/>
      <c r="G88" s="98"/>
      <c r="H88" s="99"/>
      <c r="I88" s="99"/>
      <c r="J88" s="99"/>
      <c r="K88" s="94"/>
    </row>
    <row r="89" spans="1:11" s="92" customFormat="1" ht="23.25" customHeight="1" x14ac:dyDescent="0.25">
      <c r="A89" s="93"/>
      <c r="B89" s="95"/>
      <c r="C89" s="96"/>
      <c r="D89" s="97"/>
      <c r="E89" s="96"/>
      <c r="F89" s="98"/>
      <c r="G89" s="98"/>
      <c r="H89" s="99"/>
      <c r="I89" s="99"/>
      <c r="J89" s="99"/>
      <c r="K89" s="94"/>
    </row>
    <row r="90" spans="1:11" s="92" customFormat="1" ht="23.25" customHeight="1" x14ac:dyDescent="0.25">
      <c r="A90" s="93"/>
      <c r="B90" s="95"/>
      <c r="C90" s="96"/>
      <c r="D90" s="97"/>
      <c r="E90" s="96"/>
      <c r="F90" s="98"/>
      <c r="G90" s="98"/>
      <c r="H90" s="99"/>
      <c r="I90" s="99"/>
      <c r="J90" s="99"/>
      <c r="K90" s="94"/>
    </row>
    <row r="91" spans="1:11" s="92" customFormat="1" ht="23.25" customHeight="1" x14ac:dyDescent="0.25">
      <c r="A91" s="93"/>
      <c r="B91" s="95"/>
      <c r="C91" s="96"/>
      <c r="D91" s="97"/>
      <c r="E91" s="96"/>
      <c r="F91" s="98"/>
      <c r="G91" s="98"/>
      <c r="H91" s="99"/>
      <c r="I91" s="99"/>
      <c r="J91" s="99"/>
      <c r="K91" s="94"/>
    </row>
    <row r="92" spans="1:11" s="92" customFormat="1" ht="23.25" customHeight="1" x14ac:dyDescent="0.25">
      <c r="A92" s="93"/>
      <c r="B92" s="95"/>
      <c r="C92" s="96"/>
      <c r="D92" s="97"/>
      <c r="E92" s="96"/>
      <c r="F92" s="98"/>
      <c r="G92" s="98"/>
      <c r="H92" s="99"/>
      <c r="I92" s="99"/>
      <c r="J92" s="99"/>
      <c r="K92" s="94"/>
    </row>
    <row r="93" spans="1:11" s="92" customFormat="1" ht="23.25" customHeight="1" x14ac:dyDescent="0.25">
      <c r="A93" s="93"/>
      <c r="B93" s="95"/>
      <c r="C93" s="96"/>
      <c r="D93" s="97"/>
      <c r="E93" s="96"/>
      <c r="F93" s="98"/>
      <c r="G93" s="98"/>
      <c r="H93" s="99"/>
      <c r="I93" s="99"/>
      <c r="J93" s="99"/>
      <c r="K93" s="94"/>
    </row>
    <row r="94" spans="1:11" s="92" customFormat="1" ht="23.25" customHeight="1" x14ac:dyDescent="0.25">
      <c r="A94" s="93"/>
      <c r="B94" s="95"/>
      <c r="C94" s="96"/>
      <c r="D94" s="97"/>
      <c r="E94" s="96"/>
      <c r="F94" s="98"/>
      <c r="G94" s="98"/>
      <c r="H94" s="99"/>
      <c r="I94" s="99"/>
      <c r="J94" s="99"/>
      <c r="K94" s="94"/>
    </row>
    <row r="95" spans="1:11" s="92" customFormat="1" ht="23.25" customHeight="1" x14ac:dyDescent="0.25">
      <c r="A95" s="93"/>
      <c r="B95" s="95"/>
      <c r="C95" s="96"/>
      <c r="D95" s="97"/>
      <c r="E95" s="96"/>
      <c r="F95" s="98"/>
      <c r="G95" s="98"/>
      <c r="H95" s="99"/>
      <c r="I95" s="99"/>
      <c r="J95" s="99"/>
      <c r="K95" s="94"/>
    </row>
    <row r="96" spans="1:11" s="92" customFormat="1" ht="23.25" customHeight="1" x14ac:dyDescent="0.25">
      <c r="A96" s="93"/>
      <c r="B96" s="95"/>
      <c r="C96" s="96"/>
      <c r="D96" s="97"/>
      <c r="E96" s="96"/>
      <c r="F96" s="98"/>
      <c r="G96" s="98"/>
      <c r="H96" s="99"/>
      <c r="I96" s="99"/>
      <c r="J96" s="99"/>
      <c r="K96" s="94"/>
    </row>
    <row r="97" spans="1:11" s="92" customFormat="1" ht="23.25" customHeight="1" x14ac:dyDescent="0.25">
      <c r="A97" s="93"/>
      <c r="B97" s="95"/>
      <c r="C97" s="96"/>
      <c r="D97" s="97"/>
      <c r="E97" s="96"/>
      <c r="F97" s="98"/>
      <c r="G97" s="98"/>
      <c r="H97" s="99"/>
      <c r="I97" s="99"/>
      <c r="J97" s="99"/>
      <c r="K97" s="94"/>
    </row>
    <row r="98" spans="1:11" s="92" customFormat="1" ht="23.25" customHeight="1" x14ac:dyDescent="0.25">
      <c r="A98" s="93"/>
      <c r="B98" s="95"/>
      <c r="C98" s="96"/>
      <c r="D98" s="97"/>
      <c r="E98" s="96"/>
      <c r="F98" s="98"/>
      <c r="G98" s="98"/>
      <c r="H98" s="99"/>
      <c r="I98" s="99"/>
      <c r="J98" s="99"/>
      <c r="K98" s="94"/>
    </row>
    <row r="99" spans="1:11" s="92" customFormat="1" ht="23.25" customHeight="1" x14ac:dyDescent="0.25">
      <c r="A99" s="93"/>
      <c r="B99" s="95"/>
      <c r="C99" s="96"/>
      <c r="D99" s="97"/>
      <c r="E99" s="96"/>
      <c r="F99" s="98"/>
      <c r="G99" s="98"/>
      <c r="H99" s="99"/>
      <c r="I99" s="99"/>
      <c r="J99" s="99"/>
      <c r="K99" s="94"/>
    </row>
    <row r="100" spans="1:11" s="92" customFormat="1" ht="23.25" customHeight="1" x14ac:dyDescent="0.25">
      <c r="A100" s="93"/>
      <c r="B100" s="95"/>
      <c r="C100" s="96"/>
      <c r="D100" s="97"/>
      <c r="E100" s="96"/>
      <c r="F100" s="98"/>
      <c r="G100" s="98"/>
      <c r="H100" s="99"/>
      <c r="I100" s="99"/>
      <c r="J100" s="99"/>
      <c r="K100" s="94"/>
    </row>
    <row r="101" spans="1:11" s="92" customFormat="1" ht="23.25" customHeight="1" x14ac:dyDescent="0.25">
      <c r="A101" s="93"/>
      <c r="B101" s="95"/>
      <c r="C101" s="96"/>
      <c r="D101" s="97"/>
      <c r="E101" s="96"/>
      <c r="F101" s="98"/>
      <c r="G101" s="98"/>
      <c r="H101" s="99"/>
      <c r="I101" s="99"/>
      <c r="J101" s="99"/>
      <c r="K101" s="94"/>
    </row>
    <row r="102" spans="1:11" s="92" customFormat="1" ht="23.25" customHeight="1" x14ac:dyDescent="0.25">
      <c r="A102" s="93"/>
      <c r="B102" s="95"/>
      <c r="C102" s="96"/>
      <c r="D102" s="97"/>
      <c r="E102" s="96"/>
      <c r="F102" s="98"/>
      <c r="G102" s="98"/>
      <c r="H102" s="99"/>
      <c r="I102" s="99"/>
      <c r="J102" s="99"/>
      <c r="K102" s="94"/>
    </row>
    <row r="103" spans="1:11" s="92" customFormat="1" ht="34.5" customHeight="1" x14ac:dyDescent="0.25">
      <c r="A103" s="93"/>
      <c r="B103" s="95"/>
      <c r="C103" s="96"/>
      <c r="D103" s="97"/>
      <c r="E103" s="96"/>
      <c r="F103" s="98"/>
      <c r="G103" s="98"/>
      <c r="H103" s="99"/>
      <c r="I103" s="99"/>
      <c r="J103" s="99"/>
      <c r="K103" s="94"/>
    </row>
    <row r="104" spans="1:11" s="92" customFormat="1" ht="15.75" x14ac:dyDescent="0.25">
      <c r="A104" s="93"/>
      <c r="B104" s="95"/>
      <c r="C104" s="96"/>
      <c r="D104" s="97"/>
      <c r="E104" s="96"/>
      <c r="F104" s="98"/>
      <c r="G104" s="98"/>
      <c r="H104" s="99"/>
      <c r="I104" s="99"/>
      <c r="J104" s="99"/>
      <c r="K104" s="94"/>
    </row>
    <row r="105" spans="1:11" s="92" customFormat="1" ht="15.75" x14ac:dyDescent="0.25">
      <c r="A105" s="93"/>
      <c r="B105" s="95"/>
      <c r="C105" s="96"/>
      <c r="D105" s="97"/>
      <c r="E105" s="96"/>
      <c r="F105" s="98"/>
      <c r="G105" s="98"/>
      <c r="H105" s="99"/>
      <c r="I105" s="99"/>
      <c r="J105" s="99"/>
      <c r="K105" s="94"/>
    </row>
    <row r="106" spans="1:11" s="92" customFormat="1" ht="15.75" x14ac:dyDescent="0.25">
      <c r="A106" s="93"/>
      <c r="B106" s="95"/>
      <c r="C106" s="96"/>
      <c r="D106" s="97"/>
      <c r="E106" s="96"/>
      <c r="F106" s="98"/>
      <c r="G106" s="98"/>
      <c r="H106" s="99"/>
      <c r="I106" s="99"/>
      <c r="J106" s="99"/>
      <c r="K106" s="94"/>
    </row>
    <row r="107" spans="1:11" s="92" customFormat="1" ht="23.25" customHeight="1" x14ac:dyDescent="0.25">
      <c r="A107" s="93"/>
      <c r="B107" s="95"/>
      <c r="C107" s="96"/>
      <c r="D107" s="97"/>
      <c r="E107" s="96"/>
      <c r="F107" s="98"/>
      <c r="G107" s="98"/>
      <c r="H107" s="99"/>
      <c r="I107" s="99"/>
      <c r="J107" s="99"/>
      <c r="K107" s="94"/>
    </row>
    <row r="108" spans="1:11" s="92" customFormat="1" ht="23.25" customHeight="1" x14ac:dyDescent="0.25">
      <c r="A108" s="93"/>
      <c r="B108" s="95"/>
      <c r="C108" s="96"/>
      <c r="D108" s="97"/>
      <c r="E108" s="96"/>
      <c r="F108" s="98"/>
      <c r="G108" s="98"/>
      <c r="H108" s="99"/>
      <c r="I108" s="99"/>
      <c r="J108" s="99"/>
      <c r="K108" s="94"/>
    </row>
    <row r="109" spans="1:11" s="92" customFormat="1" ht="23.25" customHeight="1" x14ac:dyDescent="0.25">
      <c r="A109" s="93"/>
      <c r="B109" s="95"/>
      <c r="C109" s="96"/>
      <c r="D109" s="97"/>
      <c r="E109" s="96"/>
      <c r="F109" s="98"/>
      <c r="G109" s="98"/>
      <c r="H109" s="99"/>
      <c r="I109" s="99"/>
      <c r="J109" s="99"/>
      <c r="K109" s="94"/>
    </row>
    <row r="110" spans="1:11" s="92" customFormat="1" ht="23.25" customHeight="1" x14ac:dyDescent="0.25">
      <c r="A110" s="93"/>
      <c r="B110" s="95"/>
      <c r="C110" s="96"/>
      <c r="D110" s="97"/>
      <c r="E110" s="96"/>
      <c r="F110" s="98"/>
      <c r="G110" s="98"/>
      <c r="H110" s="99"/>
      <c r="I110" s="99"/>
      <c r="J110" s="99"/>
      <c r="K110" s="94"/>
    </row>
    <row r="111" spans="1:11" s="92" customFormat="1" ht="23.25" customHeight="1" x14ac:dyDescent="0.25">
      <c r="A111" s="93"/>
      <c r="B111" s="95"/>
      <c r="C111" s="96"/>
      <c r="D111" s="97"/>
      <c r="E111" s="96"/>
      <c r="F111" s="98"/>
      <c r="G111" s="98"/>
      <c r="H111" s="99"/>
      <c r="I111" s="99"/>
      <c r="J111" s="99"/>
      <c r="K111" s="94"/>
    </row>
    <row r="112" spans="1:11" s="92" customFormat="1" ht="23.25" customHeight="1" x14ac:dyDescent="0.25">
      <c r="A112" s="93"/>
      <c r="B112" s="95"/>
      <c r="C112" s="96"/>
      <c r="D112" s="97"/>
      <c r="E112" s="96"/>
      <c r="F112" s="98"/>
      <c r="G112" s="98"/>
      <c r="H112" s="99"/>
      <c r="I112" s="99"/>
      <c r="J112" s="99"/>
      <c r="K112" s="94"/>
    </row>
    <row r="113" spans="1:11" s="92" customFormat="1" ht="23.25" customHeight="1" x14ac:dyDescent="0.25">
      <c r="A113" s="93"/>
      <c r="B113" s="95"/>
      <c r="C113" s="96"/>
      <c r="D113" s="97"/>
      <c r="E113" s="96"/>
      <c r="F113" s="98"/>
      <c r="G113" s="98"/>
      <c r="H113" s="99"/>
      <c r="I113" s="99"/>
      <c r="J113" s="99"/>
      <c r="K113" s="94"/>
    </row>
    <row r="114" spans="1:11" s="92" customFormat="1" ht="23.25" customHeight="1" x14ac:dyDescent="0.25">
      <c r="A114" s="93"/>
      <c r="B114" s="95"/>
      <c r="C114" s="96"/>
      <c r="D114" s="97"/>
      <c r="E114" s="96"/>
      <c r="F114" s="98"/>
      <c r="G114" s="98"/>
      <c r="H114" s="99"/>
      <c r="I114" s="99"/>
      <c r="J114" s="99"/>
      <c r="K114" s="94"/>
    </row>
    <row r="115" spans="1:11" s="92" customFormat="1" ht="23.25" customHeight="1" x14ac:dyDescent="0.25">
      <c r="A115" s="93"/>
      <c r="B115" s="95"/>
      <c r="C115" s="96"/>
      <c r="D115" s="97"/>
      <c r="E115" s="96"/>
      <c r="F115" s="98"/>
      <c r="G115" s="98"/>
      <c r="H115" s="99"/>
      <c r="I115" s="99"/>
      <c r="J115" s="99"/>
      <c r="K115" s="94"/>
    </row>
    <row r="116" spans="1:11" s="92" customFormat="1" ht="23.25" customHeight="1" x14ac:dyDescent="0.25">
      <c r="A116" s="93"/>
      <c r="B116" s="95"/>
      <c r="C116" s="96"/>
      <c r="D116" s="97"/>
      <c r="E116" s="96"/>
      <c r="F116" s="98"/>
      <c r="G116" s="98"/>
      <c r="H116" s="99"/>
      <c r="I116" s="99"/>
      <c r="J116" s="99"/>
      <c r="K116" s="94"/>
    </row>
    <row r="117" spans="1:11" s="92" customFormat="1" ht="23.25" customHeight="1" x14ac:dyDescent="0.25">
      <c r="A117" s="93"/>
      <c r="B117" s="95"/>
      <c r="C117" s="96"/>
      <c r="D117" s="97"/>
      <c r="E117" s="96"/>
      <c r="F117" s="98"/>
      <c r="G117" s="98"/>
      <c r="H117" s="99"/>
      <c r="I117" s="99"/>
      <c r="J117" s="99"/>
      <c r="K117" s="94"/>
    </row>
    <row r="118" spans="1:11" s="92" customFormat="1" ht="23.25" customHeight="1" x14ac:dyDescent="0.25">
      <c r="A118" s="93"/>
      <c r="B118" s="95"/>
      <c r="C118" s="96"/>
      <c r="D118" s="97"/>
      <c r="E118" s="96"/>
      <c r="F118" s="98"/>
      <c r="G118" s="98"/>
      <c r="H118" s="99"/>
      <c r="I118" s="99"/>
      <c r="J118" s="99"/>
      <c r="K118" s="94"/>
    </row>
    <row r="119" spans="1:11" s="92" customFormat="1" ht="23.25" customHeight="1" x14ac:dyDescent="0.25">
      <c r="A119" s="93"/>
      <c r="B119" s="95"/>
      <c r="C119" s="96"/>
      <c r="D119" s="97"/>
      <c r="E119" s="96"/>
      <c r="F119" s="98"/>
      <c r="G119" s="98"/>
      <c r="H119" s="99"/>
      <c r="I119" s="99"/>
      <c r="J119" s="99"/>
      <c r="K119" s="94"/>
    </row>
    <row r="120" spans="1:11" s="92" customFormat="1" ht="23.25" customHeight="1" x14ac:dyDescent="0.25">
      <c r="A120" s="93"/>
      <c r="B120" s="95"/>
      <c r="C120" s="96"/>
      <c r="D120" s="97"/>
      <c r="E120" s="96"/>
      <c r="F120" s="98"/>
      <c r="G120" s="98"/>
      <c r="H120" s="99"/>
      <c r="I120" s="99"/>
      <c r="J120" s="99"/>
      <c r="K120" s="94"/>
    </row>
    <row r="121" spans="1:11" s="92" customFormat="1" ht="23.25" customHeight="1" x14ac:dyDescent="0.25">
      <c r="A121" s="93"/>
      <c r="B121" s="95"/>
      <c r="C121" s="96"/>
      <c r="D121" s="97"/>
      <c r="E121" s="96"/>
      <c r="F121" s="98"/>
      <c r="G121" s="98"/>
      <c r="H121" s="99"/>
      <c r="I121" s="99"/>
      <c r="J121" s="99"/>
      <c r="K121" s="94"/>
    </row>
    <row r="122" spans="1:11" ht="23.25" customHeight="1" x14ac:dyDescent="0.25">
      <c r="A122" s="93"/>
      <c r="B122" s="95"/>
      <c r="C122" s="96"/>
      <c r="D122" s="97"/>
      <c r="E122" s="96"/>
      <c r="F122" s="98"/>
      <c r="G122" s="98"/>
      <c r="H122" s="99"/>
      <c r="I122" s="99"/>
      <c r="J122" s="99"/>
      <c r="K122" s="94"/>
    </row>
    <row r="123" spans="1:11" ht="23.25" customHeight="1" x14ac:dyDescent="0.25">
      <c r="A123" s="93"/>
      <c r="B123" s="95"/>
      <c r="C123" s="96"/>
      <c r="D123" s="97"/>
      <c r="E123" s="96"/>
      <c r="F123" s="98"/>
      <c r="G123" s="98"/>
      <c r="H123" s="99"/>
      <c r="I123" s="99"/>
      <c r="J123" s="99"/>
      <c r="K123" s="94"/>
    </row>
    <row r="124" spans="1:11" ht="23.25" customHeight="1" x14ac:dyDescent="0.25">
      <c r="A124" s="93"/>
      <c r="B124" s="95"/>
      <c r="C124" s="96"/>
      <c r="D124" s="97"/>
      <c r="E124" s="96"/>
      <c r="F124" s="98"/>
      <c r="G124" s="98"/>
      <c r="H124" s="99"/>
      <c r="I124" s="99"/>
      <c r="J124" s="99"/>
      <c r="K124" s="94"/>
    </row>
    <row r="125" spans="1:11" ht="23.25" customHeight="1" x14ac:dyDescent="0.25">
      <c r="A125" s="93"/>
      <c r="B125" s="95"/>
      <c r="C125" s="96"/>
      <c r="D125" s="97"/>
      <c r="E125" s="96"/>
      <c r="F125" s="98"/>
      <c r="G125" s="98"/>
      <c r="H125" s="99"/>
      <c r="I125" s="99"/>
      <c r="J125" s="99"/>
      <c r="K125" s="94"/>
    </row>
    <row r="126" spans="1:11" ht="23.25" customHeight="1" x14ac:dyDescent="0.25">
      <c r="A126" s="93"/>
      <c r="B126" s="95"/>
      <c r="C126" s="96"/>
      <c r="D126" s="97"/>
      <c r="E126" s="96"/>
      <c r="F126" s="98"/>
      <c r="G126" s="98"/>
      <c r="H126" s="99"/>
      <c r="I126" s="99"/>
      <c r="J126" s="99"/>
      <c r="K126" s="94"/>
    </row>
    <row r="127" spans="1:11" ht="23.25" customHeight="1" x14ac:dyDescent="0.25">
      <c r="A127" s="93"/>
      <c r="B127" s="95"/>
      <c r="C127" s="96"/>
      <c r="D127" s="97"/>
      <c r="E127" s="96"/>
      <c r="F127" s="98"/>
      <c r="G127" s="98"/>
      <c r="H127" s="99"/>
      <c r="I127" s="99"/>
      <c r="J127" s="99"/>
      <c r="K127" s="94"/>
    </row>
    <row r="128" spans="1:11" ht="23.25" customHeight="1" x14ac:dyDescent="0.25">
      <c r="A128" s="93"/>
      <c r="B128" s="95"/>
      <c r="C128" s="96"/>
      <c r="D128" s="97"/>
      <c r="E128" s="96"/>
      <c r="F128" s="98"/>
      <c r="G128" s="98"/>
      <c r="H128" s="99"/>
      <c r="I128" s="99"/>
      <c r="J128" s="99"/>
      <c r="K128" s="94"/>
    </row>
    <row r="129" spans="1:11" ht="23.25" customHeight="1" x14ac:dyDescent="0.25">
      <c r="A129" s="93"/>
      <c r="B129" s="95"/>
      <c r="C129" s="96"/>
      <c r="D129" s="97"/>
      <c r="E129" s="96"/>
      <c r="F129" s="98"/>
      <c r="G129" s="98"/>
      <c r="H129" s="99"/>
      <c r="I129" s="99"/>
      <c r="J129" s="99"/>
      <c r="K129" s="94"/>
    </row>
    <row r="130" spans="1:11" ht="23.25" customHeight="1" x14ac:dyDescent="0.25">
      <c r="A130" s="93"/>
      <c r="B130" s="95"/>
      <c r="C130" s="96"/>
      <c r="D130" s="97"/>
      <c r="E130" s="96"/>
      <c r="F130" s="98"/>
      <c r="G130" s="98"/>
      <c r="H130" s="99"/>
      <c r="I130" s="99"/>
      <c r="J130" s="99"/>
      <c r="K130" s="94"/>
    </row>
    <row r="131" spans="1:11" ht="23.25" customHeight="1" x14ac:dyDescent="0.25">
      <c r="A131" s="93"/>
      <c r="B131" s="95"/>
      <c r="C131" s="96"/>
      <c r="D131" s="97"/>
      <c r="E131" s="96"/>
      <c r="F131" s="98"/>
      <c r="G131" s="98"/>
      <c r="H131" s="99"/>
      <c r="I131" s="99"/>
      <c r="J131" s="99"/>
      <c r="K131" s="94"/>
    </row>
    <row r="132" spans="1:11" ht="23.25" customHeight="1" x14ac:dyDescent="0.25">
      <c r="A132" s="93"/>
      <c r="B132" s="95"/>
      <c r="C132" s="96"/>
      <c r="D132" s="97"/>
      <c r="E132" s="96"/>
      <c r="F132" s="98"/>
      <c r="G132" s="98"/>
      <c r="H132" s="99"/>
      <c r="I132" s="99"/>
      <c r="J132" s="99"/>
      <c r="K132" s="94"/>
    </row>
    <row r="133" spans="1:11" ht="23.25" customHeight="1" x14ac:dyDescent="0.25">
      <c r="A133" s="93"/>
      <c r="B133" s="95"/>
      <c r="C133" s="96"/>
      <c r="D133" s="97"/>
      <c r="E133" s="96"/>
      <c r="F133" s="98"/>
      <c r="G133" s="98"/>
      <c r="H133" s="99"/>
      <c r="I133" s="99"/>
      <c r="J133" s="99"/>
      <c r="K133" s="94"/>
    </row>
    <row r="134" spans="1:11" ht="23.25" customHeight="1" x14ac:dyDescent="0.25">
      <c r="A134" s="93"/>
      <c r="B134" s="95"/>
      <c r="C134" s="96"/>
      <c r="D134" s="97"/>
      <c r="E134" s="96"/>
      <c r="F134" s="98"/>
      <c r="G134" s="98"/>
      <c r="H134" s="99"/>
      <c r="I134" s="99"/>
      <c r="J134" s="99"/>
      <c r="K134" s="94"/>
    </row>
    <row r="135" spans="1:11" ht="23.25" customHeight="1" x14ac:dyDescent="0.25">
      <c r="A135" s="93"/>
      <c r="B135" s="95"/>
      <c r="C135" s="96"/>
      <c r="D135" s="97"/>
      <c r="E135" s="96"/>
      <c r="F135" s="98"/>
      <c r="G135" s="98"/>
      <c r="H135" s="99"/>
      <c r="I135" s="99"/>
      <c r="J135" s="99"/>
      <c r="K135" s="94"/>
    </row>
    <row r="136" spans="1:11" ht="23.25" customHeight="1" x14ac:dyDescent="0.25">
      <c r="A136" s="93"/>
      <c r="B136" s="95"/>
      <c r="C136" s="96"/>
      <c r="D136" s="97"/>
      <c r="E136" s="96"/>
      <c r="F136" s="98"/>
      <c r="G136" s="98"/>
      <c r="H136" s="99"/>
      <c r="I136" s="99"/>
      <c r="J136" s="99"/>
      <c r="K136" s="94"/>
    </row>
    <row r="137" spans="1:11" ht="23.25" customHeight="1" x14ac:dyDescent="0.25">
      <c r="A137" s="93"/>
      <c r="B137" s="95"/>
      <c r="C137" s="96"/>
      <c r="D137" s="97"/>
      <c r="E137" s="96"/>
      <c r="F137" s="98"/>
      <c r="G137" s="98"/>
      <c r="H137" s="99"/>
      <c r="I137" s="99"/>
      <c r="J137" s="99"/>
      <c r="K137" s="94"/>
    </row>
    <row r="138" spans="1:11" ht="23.25" customHeight="1" x14ac:dyDescent="0.25">
      <c r="A138" s="93"/>
      <c r="B138" s="95"/>
      <c r="C138" s="96"/>
      <c r="D138" s="97"/>
      <c r="E138" s="96"/>
      <c r="F138" s="98"/>
      <c r="G138" s="98"/>
      <c r="H138" s="99"/>
      <c r="I138" s="99"/>
      <c r="J138" s="99"/>
      <c r="K138" s="94"/>
    </row>
    <row r="139" spans="1:11" ht="23.25" customHeight="1" x14ac:dyDescent="0.25">
      <c r="A139" s="93"/>
      <c r="B139" s="95"/>
      <c r="C139" s="96"/>
      <c r="D139" s="97"/>
      <c r="E139" s="96"/>
      <c r="F139" s="98"/>
      <c r="G139" s="98"/>
      <c r="H139" s="99"/>
      <c r="I139" s="99"/>
      <c r="J139" s="99"/>
      <c r="K139" s="94"/>
    </row>
    <row r="140" spans="1:11" ht="23.25" customHeight="1" x14ac:dyDescent="0.25">
      <c r="A140" s="93"/>
      <c r="B140" s="95"/>
      <c r="C140" s="96"/>
      <c r="D140" s="97"/>
      <c r="E140" s="96"/>
      <c r="F140" s="98"/>
      <c r="G140" s="98"/>
      <c r="H140" s="99"/>
      <c r="I140" s="99"/>
      <c r="J140" s="99"/>
      <c r="K140" s="94"/>
    </row>
    <row r="141" spans="1:11" ht="23.25" customHeight="1" x14ac:dyDescent="0.25">
      <c r="A141" s="93"/>
      <c r="B141" s="95"/>
      <c r="C141" s="96"/>
      <c r="D141" s="97"/>
      <c r="E141" s="96"/>
      <c r="F141" s="98"/>
      <c r="G141" s="98"/>
      <c r="H141" s="99"/>
      <c r="I141" s="99"/>
      <c r="J141" s="99"/>
      <c r="K141" s="94"/>
    </row>
    <row r="142" spans="1:11" ht="23.25" customHeight="1" x14ac:dyDescent="0.25">
      <c r="A142" s="93"/>
      <c r="B142" s="95"/>
      <c r="C142" s="96"/>
      <c r="D142" s="97"/>
      <c r="E142" s="96"/>
      <c r="F142" s="98"/>
      <c r="G142" s="98"/>
      <c r="H142" s="99"/>
      <c r="I142" s="99"/>
      <c r="J142" s="99"/>
      <c r="K142" s="94"/>
    </row>
    <row r="143" spans="1:11" ht="23.25" customHeight="1" x14ac:dyDescent="0.25">
      <c r="A143" s="93"/>
      <c r="B143" s="95"/>
      <c r="C143" s="96"/>
      <c r="D143" s="97"/>
      <c r="E143" s="96"/>
      <c r="F143" s="98"/>
      <c r="G143" s="98"/>
      <c r="H143" s="99"/>
      <c r="I143" s="99"/>
      <c r="J143" s="99"/>
      <c r="K143" s="94"/>
    </row>
    <row r="144" spans="1:11" ht="23.25" customHeight="1" x14ac:dyDescent="0.25">
      <c r="A144" s="93"/>
      <c r="B144" s="95"/>
      <c r="C144" s="96"/>
      <c r="D144" s="97"/>
      <c r="E144" s="96"/>
      <c r="F144" s="98"/>
      <c r="G144" s="98"/>
      <c r="H144" s="99"/>
      <c r="I144" s="99"/>
      <c r="J144" s="99"/>
      <c r="K144" s="94"/>
    </row>
    <row r="145" spans="1:11" ht="23.25" customHeight="1" x14ac:dyDescent="0.25">
      <c r="A145" s="93"/>
      <c r="B145" s="95"/>
      <c r="C145" s="96"/>
      <c r="D145" s="97"/>
      <c r="E145" s="96"/>
      <c r="F145" s="98"/>
      <c r="G145" s="98"/>
      <c r="H145" s="99"/>
      <c r="I145" s="99"/>
      <c r="J145" s="99"/>
      <c r="K145" s="94"/>
    </row>
    <row r="146" spans="1:11" ht="23.25" customHeight="1" x14ac:dyDescent="0.25">
      <c r="A146" s="93"/>
      <c r="B146" s="95"/>
      <c r="C146" s="96"/>
      <c r="D146" s="97"/>
      <c r="E146" s="96"/>
      <c r="F146" s="98"/>
      <c r="G146" s="98"/>
      <c r="H146" s="99"/>
      <c r="I146" s="99"/>
      <c r="J146" s="99"/>
      <c r="K146" s="94"/>
    </row>
    <row r="147" spans="1:11" ht="23.25" customHeight="1" x14ac:dyDescent="0.25">
      <c r="A147" s="93"/>
      <c r="B147" s="95"/>
      <c r="C147" s="96"/>
      <c r="D147" s="97"/>
      <c r="E147" s="96"/>
      <c r="F147" s="98"/>
      <c r="G147" s="98"/>
      <c r="H147" s="99"/>
      <c r="I147" s="99"/>
      <c r="J147" s="99"/>
      <c r="K147" s="94"/>
    </row>
    <row r="148" spans="1:11" ht="23.25" customHeight="1" x14ac:dyDescent="0.25">
      <c r="A148" s="93"/>
      <c r="B148" s="95"/>
      <c r="C148" s="96"/>
      <c r="D148" s="97"/>
      <c r="E148" s="96"/>
      <c r="F148" s="98"/>
      <c r="G148" s="98"/>
      <c r="H148" s="99"/>
      <c r="I148" s="99"/>
      <c r="J148" s="99"/>
      <c r="K148" s="94"/>
    </row>
    <row r="149" spans="1:11" ht="23.25" customHeight="1" x14ac:dyDescent="0.25">
      <c r="A149" s="93"/>
      <c r="B149" s="95"/>
      <c r="C149" s="96"/>
      <c r="D149" s="97"/>
      <c r="E149" s="96"/>
      <c r="F149" s="98"/>
      <c r="G149" s="98"/>
      <c r="H149" s="99"/>
      <c r="I149" s="99"/>
      <c r="J149" s="99"/>
      <c r="K149" s="94"/>
    </row>
    <row r="150" spans="1:11" ht="23.25" customHeight="1" x14ac:dyDescent="0.25">
      <c r="A150" s="93"/>
      <c r="B150" s="95"/>
      <c r="C150" s="96"/>
      <c r="D150" s="97"/>
      <c r="E150" s="96"/>
      <c r="F150" s="98"/>
      <c r="G150" s="98"/>
      <c r="H150" s="99"/>
      <c r="I150" s="99"/>
      <c r="J150" s="99"/>
      <c r="K150" s="94"/>
    </row>
    <row r="151" spans="1:11" ht="23.25" customHeight="1" x14ac:dyDescent="0.25">
      <c r="A151" s="93"/>
      <c r="B151" s="95"/>
      <c r="C151" s="96"/>
      <c r="D151" s="97"/>
      <c r="E151" s="96"/>
      <c r="F151" s="98"/>
      <c r="G151" s="98"/>
      <c r="H151" s="99"/>
      <c r="I151" s="99"/>
      <c r="J151" s="99"/>
      <c r="K151" s="94"/>
    </row>
    <row r="152" spans="1:11" ht="23.25" customHeight="1" x14ac:dyDescent="0.25">
      <c r="A152" s="93"/>
      <c r="B152" s="95"/>
      <c r="C152" s="96"/>
      <c r="D152" s="97"/>
      <c r="E152" s="96"/>
      <c r="F152" s="98"/>
      <c r="G152" s="98"/>
      <c r="H152" s="99"/>
      <c r="I152" s="99"/>
      <c r="J152" s="99"/>
      <c r="K152" s="94"/>
    </row>
    <row r="153" spans="1:11" ht="23.25" customHeight="1" x14ac:dyDescent="0.25">
      <c r="A153" s="93"/>
      <c r="B153" s="95"/>
      <c r="C153" s="96"/>
      <c r="D153" s="97"/>
      <c r="E153" s="96"/>
      <c r="F153" s="98"/>
      <c r="G153" s="98"/>
      <c r="H153" s="99"/>
      <c r="I153" s="99"/>
      <c r="J153" s="99"/>
      <c r="K153" s="94"/>
    </row>
    <row r="154" spans="1:11" ht="23.25" customHeight="1" x14ac:dyDescent="0.25">
      <c r="A154" s="93"/>
      <c r="B154" s="95"/>
      <c r="C154" s="96"/>
      <c r="D154" s="97"/>
      <c r="E154" s="96"/>
      <c r="F154" s="98"/>
      <c r="G154" s="98"/>
      <c r="H154" s="99"/>
      <c r="I154" s="99"/>
      <c r="J154" s="99"/>
      <c r="K154" s="94"/>
    </row>
    <row r="155" spans="1:11" ht="23.25" customHeight="1" x14ac:dyDescent="0.25">
      <c r="A155" s="93"/>
      <c r="B155" s="95"/>
      <c r="C155" s="96"/>
      <c r="D155" s="97"/>
      <c r="E155" s="96"/>
      <c r="F155" s="98"/>
      <c r="G155" s="98"/>
      <c r="H155" s="99"/>
      <c r="I155" s="99"/>
      <c r="J155" s="99"/>
      <c r="K155" s="94"/>
    </row>
    <row r="156" spans="1:11" ht="23.25" customHeight="1" x14ac:dyDescent="0.25">
      <c r="A156" s="93"/>
      <c r="B156" s="95"/>
      <c r="C156" s="96"/>
      <c r="D156" s="97"/>
      <c r="E156" s="96"/>
      <c r="F156" s="98"/>
      <c r="G156" s="98"/>
      <c r="H156" s="99"/>
      <c r="I156" s="99"/>
      <c r="J156" s="99"/>
      <c r="K156" s="94"/>
    </row>
    <row r="157" spans="1:11" ht="23.25" customHeight="1" x14ac:dyDescent="0.25">
      <c r="A157" s="93"/>
      <c r="B157" s="95"/>
      <c r="C157" s="96"/>
      <c r="D157" s="97"/>
      <c r="E157" s="96"/>
      <c r="F157" s="98"/>
      <c r="G157" s="98"/>
      <c r="H157" s="99"/>
      <c r="I157" s="99"/>
      <c r="J157" s="99"/>
      <c r="K157" s="94"/>
    </row>
    <row r="158" spans="1:11" ht="23.25" customHeight="1" x14ac:dyDescent="0.25">
      <c r="A158" s="93"/>
      <c r="B158" s="95"/>
      <c r="C158" s="96"/>
      <c r="D158" s="97"/>
      <c r="E158" s="96"/>
      <c r="F158" s="98"/>
      <c r="G158" s="98"/>
      <c r="H158" s="99"/>
      <c r="I158" s="99"/>
      <c r="J158" s="99"/>
      <c r="K158" s="94"/>
    </row>
    <row r="159" spans="1:11" ht="23.25" customHeight="1" x14ac:dyDescent="0.25">
      <c r="A159" s="93"/>
      <c r="B159" s="95"/>
      <c r="C159" s="96"/>
      <c r="D159" s="97"/>
      <c r="E159" s="96"/>
      <c r="F159" s="98"/>
      <c r="G159" s="98"/>
      <c r="H159" s="99"/>
      <c r="I159" s="99"/>
      <c r="J159" s="99"/>
      <c r="K159" s="94"/>
    </row>
    <row r="160" spans="1:11" ht="15.75" x14ac:dyDescent="0.25">
      <c r="A160" s="93"/>
      <c r="B160" s="95"/>
      <c r="C160" s="96"/>
      <c r="D160" s="97"/>
      <c r="E160" s="96"/>
      <c r="F160" s="98"/>
      <c r="G160" s="98"/>
      <c r="H160" s="99"/>
      <c r="I160" s="99"/>
      <c r="J160" s="99"/>
      <c r="K160" s="94"/>
    </row>
    <row r="161" spans="1:11" ht="15.75" x14ac:dyDescent="0.25">
      <c r="A161" s="93"/>
      <c r="B161" s="95"/>
      <c r="C161" s="96"/>
      <c r="D161" s="97"/>
      <c r="E161" s="96"/>
      <c r="F161" s="98"/>
      <c r="G161" s="98"/>
      <c r="H161" s="99"/>
      <c r="I161" s="99"/>
      <c r="J161" s="99"/>
      <c r="K161" s="94"/>
    </row>
    <row r="162" spans="1:11" ht="23.25" customHeight="1" x14ac:dyDescent="0.25">
      <c r="A162" s="93"/>
      <c r="B162" s="95"/>
      <c r="C162" s="96"/>
      <c r="D162" s="97"/>
      <c r="E162" s="96"/>
      <c r="F162" s="98"/>
      <c r="G162" s="98"/>
      <c r="H162" s="99"/>
      <c r="I162" s="99"/>
      <c r="J162" s="99"/>
      <c r="K162" s="94"/>
    </row>
    <row r="163" spans="1:11" ht="23.25" customHeight="1" x14ac:dyDescent="0.25">
      <c r="A163" s="93"/>
      <c r="B163" s="95"/>
      <c r="C163" s="96"/>
      <c r="D163" s="97"/>
      <c r="E163" s="96"/>
      <c r="F163" s="98"/>
      <c r="G163" s="98"/>
      <c r="H163" s="99"/>
      <c r="I163" s="99"/>
      <c r="J163" s="99"/>
      <c r="K163" s="94"/>
    </row>
    <row r="164" spans="1:11" ht="23.25" customHeight="1" x14ac:dyDescent="0.25">
      <c r="A164" s="93"/>
      <c r="B164" s="95"/>
      <c r="C164" s="96"/>
      <c r="D164" s="97"/>
      <c r="E164" s="96"/>
      <c r="F164" s="98"/>
      <c r="G164" s="98"/>
      <c r="H164" s="99"/>
      <c r="I164" s="99"/>
      <c r="J164" s="99"/>
      <c r="K164" s="94"/>
    </row>
    <row r="165" spans="1:11" ht="23.25" customHeight="1" x14ac:dyDescent="0.25">
      <c r="A165" s="93"/>
      <c r="B165" s="95"/>
      <c r="C165" s="96"/>
      <c r="D165" s="97"/>
      <c r="E165" s="96"/>
      <c r="F165" s="98"/>
      <c r="G165" s="98"/>
      <c r="H165" s="99"/>
      <c r="I165" s="99"/>
      <c r="J165" s="99"/>
      <c r="K165" s="94"/>
    </row>
    <row r="166" spans="1:11" ht="23.25" customHeight="1" x14ac:dyDescent="0.25">
      <c r="A166" s="93"/>
      <c r="B166" s="95"/>
      <c r="C166" s="96"/>
      <c r="D166" s="97"/>
      <c r="E166" s="96"/>
      <c r="F166" s="98"/>
      <c r="G166" s="98"/>
      <c r="H166" s="99"/>
      <c r="I166" s="99"/>
      <c r="J166" s="99"/>
      <c r="K166" s="94"/>
    </row>
    <row r="167" spans="1:11" ht="23.25" customHeight="1" x14ac:dyDescent="0.25">
      <c r="A167" s="93"/>
      <c r="B167" s="95"/>
      <c r="C167" s="96"/>
      <c r="D167" s="97"/>
      <c r="E167" s="96"/>
      <c r="F167" s="98"/>
      <c r="G167" s="98"/>
      <c r="H167" s="99"/>
      <c r="I167" s="99"/>
      <c r="J167" s="99"/>
      <c r="K167" s="94"/>
    </row>
    <row r="168" spans="1:11" ht="23.25" customHeight="1" x14ac:dyDescent="0.25">
      <c r="A168" s="93"/>
      <c r="B168" s="95"/>
      <c r="C168" s="96"/>
      <c r="D168" s="97"/>
      <c r="E168" s="96"/>
      <c r="F168" s="98"/>
      <c r="G168" s="98"/>
      <c r="H168" s="99"/>
      <c r="I168" s="99"/>
      <c r="J168" s="99"/>
      <c r="K168" s="94"/>
    </row>
    <row r="169" spans="1:11" ht="23.25" customHeight="1" x14ac:dyDescent="0.25">
      <c r="A169" s="93"/>
      <c r="B169" s="95"/>
      <c r="C169" s="96"/>
      <c r="D169" s="97"/>
      <c r="E169" s="96"/>
      <c r="F169" s="98"/>
      <c r="G169" s="98"/>
      <c r="H169" s="99"/>
      <c r="I169" s="99"/>
      <c r="J169" s="99"/>
      <c r="K169" s="94"/>
    </row>
    <row r="170" spans="1:11" ht="23.25" customHeight="1" x14ac:dyDescent="0.25">
      <c r="A170" s="93"/>
      <c r="B170" s="95"/>
      <c r="C170" s="96"/>
      <c r="D170" s="97"/>
      <c r="E170" s="96"/>
      <c r="F170" s="98"/>
      <c r="G170" s="98"/>
      <c r="H170" s="99"/>
      <c r="I170" s="99"/>
      <c r="J170" s="99"/>
      <c r="K170" s="94"/>
    </row>
    <row r="171" spans="1:11" ht="23.25" customHeight="1" x14ac:dyDescent="0.25">
      <c r="A171" s="93"/>
      <c r="B171" s="95"/>
      <c r="C171" s="96"/>
      <c r="D171" s="97"/>
      <c r="E171" s="96"/>
      <c r="F171" s="98"/>
      <c r="G171" s="98"/>
      <c r="H171" s="99"/>
      <c r="I171" s="99"/>
      <c r="J171" s="99"/>
      <c r="K171" s="94"/>
    </row>
    <row r="172" spans="1:11" ht="23.25" customHeight="1" x14ac:dyDescent="0.25">
      <c r="A172" s="93"/>
      <c r="B172" s="95"/>
      <c r="C172" s="96"/>
      <c r="D172" s="97"/>
      <c r="E172" s="96"/>
      <c r="F172" s="98"/>
      <c r="G172" s="98"/>
      <c r="H172" s="99"/>
      <c r="I172" s="99"/>
      <c r="J172" s="99"/>
      <c r="K172" s="94"/>
    </row>
    <row r="173" spans="1:11" ht="23.25" customHeight="1" x14ac:dyDescent="0.25">
      <c r="A173" s="93"/>
      <c r="B173" s="95"/>
      <c r="C173" s="96"/>
      <c r="D173" s="97"/>
      <c r="E173" s="96"/>
      <c r="F173" s="98"/>
      <c r="G173" s="98"/>
      <c r="H173" s="99"/>
      <c r="I173" s="99"/>
      <c r="J173" s="99"/>
      <c r="K173" s="94"/>
    </row>
    <row r="174" spans="1:11" ht="23.25" customHeight="1" x14ac:dyDescent="0.25">
      <c r="A174" s="93"/>
      <c r="B174" s="95"/>
      <c r="C174" s="96"/>
      <c r="D174" s="101"/>
      <c r="E174" s="96"/>
      <c r="F174" s="98"/>
      <c r="G174" s="98"/>
      <c r="H174" s="99"/>
      <c r="I174" s="99"/>
      <c r="J174" s="99"/>
      <c r="K174" s="94"/>
    </row>
    <row r="175" spans="1:11" ht="23.25" customHeight="1" x14ac:dyDescent="0.25">
      <c r="A175" s="93"/>
      <c r="B175" s="95"/>
      <c r="C175" s="96"/>
      <c r="D175" s="97"/>
      <c r="E175" s="96"/>
      <c r="F175" s="98"/>
      <c r="G175" s="98"/>
      <c r="H175" s="99"/>
      <c r="I175" s="99"/>
      <c r="J175" s="99"/>
      <c r="K175" s="94"/>
    </row>
    <row r="176" spans="1:11" ht="23.25" customHeight="1" x14ac:dyDescent="0.25">
      <c r="A176" s="93"/>
      <c r="B176" s="95"/>
      <c r="C176" s="96"/>
      <c r="D176" s="101"/>
      <c r="E176" s="96"/>
      <c r="F176" s="98"/>
      <c r="G176" s="98"/>
      <c r="H176" s="99"/>
      <c r="I176" s="99"/>
      <c r="J176" s="99"/>
      <c r="K176" s="94"/>
    </row>
    <row r="177" spans="1:11" ht="23.25" customHeight="1" x14ac:dyDescent="0.25">
      <c r="A177" s="93"/>
      <c r="B177" s="95"/>
      <c r="C177" s="96"/>
      <c r="D177" s="97"/>
      <c r="E177" s="96"/>
      <c r="F177" s="98"/>
      <c r="G177" s="98"/>
      <c r="H177" s="99"/>
      <c r="I177" s="99"/>
      <c r="J177" s="99"/>
      <c r="K177" s="94"/>
    </row>
    <row r="178" spans="1:11" ht="23.25" customHeight="1" x14ac:dyDescent="0.25">
      <c r="A178" s="93"/>
      <c r="B178" s="95"/>
      <c r="C178" s="96"/>
      <c r="D178" s="97"/>
      <c r="E178" s="96"/>
      <c r="F178" s="98"/>
      <c r="G178" s="98"/>
      <c r="H178" s="99"/>
      <c r="I178" s="99"/>
      <c r="J178" s="99"/>
      <c r="K178" s="94"/>
    </row>
    <row r="179" spans="1:11" ht="23.25" customHeight="1" x14ac:dyDescent="0.25">
      <c r="A179" s="93"/>
      <c r="B179" s="95"/>
      <c r="C179" s="96"/>
      <c r="D179" s="97"/>
      <c r="E179" s="96"/>
      <c r="F179" s="98"/>
      <c r="G179" s="98"/>
      <c r="H179" s="99"/>
      <c r="I179" s="99"/>
      <c r="J179" s="99"/>
      <c r="K179" s="94"/>
    </row>
    <row r="180" spans="1:11" ht="23.25" customHeight="1" x14ac:dyDescent="0.25">
      <c r="A180" s="93"/>
      <c r="B180" s="95"/>
      <c r="C180" s="96"/>
      <c r="D180" s="97"/>
      <c r="E180" s="96"/>
      <c r="F180" s="98"/>
      <c r="G180" s="98"/>
      <c r="H180" s="99"/>
      <c r="I180" s="99"/>
      <c r="J180" s="99"/>
      <c r="K180" s="94"/>
    </row>
    <row r="181" spans="1:11" ht="23.25" customHeight="1" x14ac:dyDescent="0.25">
      <c r="A181" s="93"/>
      <c r="B181" s="95"/>
      <c r="C181" s="96"/>
      <c r="D181" s="97"/>
      <c r="E181" s="96"/>
      <c r="F181" s="98"/>
      <c r="G181" s="98"/>
      <c r="H181" s="99"/>
      <c r="I181" s="99"/>
      <c r="J181" s="99"/>
      <c r="K181" s="94"/>
    </row>
    <row r="182" spans="1:11" ht="23.25" customHeight="1" x14ac:dyDescent="0.25">
      <c r="A182" s="93"/>
      <c r="B182" s="95"/>
      <c r="C182" s="96"/>
      <c r="D182" s="97"/>
      <c r="E182" s="96"/>
      <c r="F182" s="98"/>
      <c r="G182" s="98"/>
      <c r="H182" s="99"/>
      <c r="I182" s="99"/>
      <c r="J182" s="99"/>
      <c r="K182" s="94"/>
    </row>
    <row r="183" spans="1:11" ht="23.25" customHeight="1" x14ac:dyDescent="0.25">
      <c r="A183" s="93"/>
      <c r="B183" s="95"/>
      <c r="C183" s="96"/>
      <c r="D183" s="97"/>
      <c r="E183" s="96"/>
      <c r="F183" s="98"/>
      <c r="G183" s="98"/>
      <c r="H183" s="99"/>
      <c r="I183" s="99"/>
      <c r="J183" s="99"/>
      <c r="K183" s="94"/>
    </row>
    <row r="184" spans="1:11" ht="23.25" customHeight="1" x14ac:dyDescent="0.25">
      <c r="A184" s="93"/>
      <c r="B184" s="95"/>
      <c r="C184" s="96"/>
      <c r="D184" s="97"/>
      <c r="E184" s="96"/>
      <c r="F184" s="98"/>
      <c r="G184" s="98"/>
      <c r="H184" s="99"/>
      <c r="I184" s="99"/>
      <c r="J184" s="99"/>
      <c r="K184" s="94"/>
    </row>
    <row r="185" spans="1:11" ht="23.25" customHeight="1" x14ac:dyDescent="0.25">
      <c r="A185" s="93"/>
      <c r="B185" s="95"/>
      <c r="C185" s="96"/>
      <c r="D185" s="97"/>
      <c r="E185" s="96"/>
      <c r="F185" s="98"/>
      <c r="G185" s="98"/>
      <c r="H185" s="99"/>
      <c r="I185" s="99"/>
      <c r="J185" s="99"/>
      <c r="K185" s="94"/>
    </row>
    <row r="186" spans="1:11" ht="23.25" customHeight="1" x14ac:dyDescent="0.25">
      <c r="A186" s="93"/>
      <c r="B186" s="95"/>
      <c r="C186" s="96"/>
      <c r="D186" s="97"/>
      <c r="E186" s="96"/>
      <c r="F186" s="98"/>
      <c r="G186" s="98"/>
      <c r="H186" s="99"/>
      <c r="I186" s="99"/>
      <c r="J186" s="99"/>
      <c r="K186" s="94"/>
    </row>
    <row r="187" spans="1:11" ht="23.25" customHeight="1" x14ac:dyDescent="0.25">
      <c r="A187" s="93"/>
      <c r="B187" s="95"/>
      <c r="C187" s="96"/>
      <c r="D187" s="97"/>
      <c r="E187" s="96"/>
      <c r="F187" s="98"/>
      <c r="G187" s="98"/>
      <c r="H187" s="99"/>
      <c r="I187" s="99"/>
      <c r="J187" s="99"/>
      <c r="K187" s="94"/>
    </row>
    <row r="188" spans="1:11" ht="23.25" customHeight="1" x14ac:dyDescent="0.25">
      <c r="A188" s="93"/>
      <c r="B188" s="95"/>
      <c r="C188" s="96"/>
      <c r="D188" s="97"/>
      <c r="E188" s="96"/>
      <c r="F188" s="98"/>
      <c r="G188" s="98"/>
      <c r="H188" s="99"/>
      <c r="I188" s="99"/>
      <c r="J188" s="99"/>
      <c r="K188" s="94"/>
    </row>
    <row r="189" spans="1:11" ht="23.25" customHeight="1" x14ac:dyDescent="0.25">
      <c r="A189" s="93"/>
      <c r="B189" s="95"/>
      <c r="C189" s="96"/>
      <c r="D189" s="97"/>
      <c r="E189" s="96"/>
      <c r="F189" s="98"/>
      <c r="G189" s="98"/>
      <c r="H189" s="99"/>
      <c r="I189" s="99"/>
      <c r="J189" s="99"/>
      <c r="K189" s="94"/>
    </row>
    <row r="190" spans="1:11" ht="23.25" customHeight="1" x14ac:dyDescent="0.25">
      <c r="A190" s="93"/>
      <c r="B190" s="95"/>
      <c r="C190" s="96"/>
      <c r="D190" s="97"/>
      <c r="E190" s="96"/>
      <c r="F190" s="98"/>
      <c r="G190" s="98"/>
      <c r="H190" s="99"/>
      <c r="I190" s="99"/>
      <c r="J190" s="99"/>
      <c r="K190" s="94"/>
    </row>
    <row r="191" spans="1:11" ht="23.25" customHeight="1" x14ac:dyDescent="0.25">
      <c r="A191" s="93"/>
      <c r="B191" s="95"/>
      <c r="C191" s="96"/>
      <c r="D191" s="97"/>
      <c r="E191" s="96"/>
      <c r="F191" s="98"/>
      <c r="G191" s="98"/>
      <c r="H191" s="99"/>
      <c r="I191" s="99"/>
      <c r="J191" s="99"/>
      <c r="K191" s="94"/>
    </row>
    <row r="192" spans="1:11" ht="23.25" customHeight="1" x14ac:dyDescent="0.25">
      <c r="A192" s="93"/>
      <c r="B192" s="95"/>
      <c r="C192" s="96"/>
      <c r="D192" s="97"/>
      <c r="E192" s="96"/>
      <c r="F192" s="98"/>
      <c r="G192" s="98"/>
      <c r="H192" s="99"/>
      <c r="I192" s="99"/>
      <c r="J192" s="99"/>
      <c r="K192" s="94"/>
    </row>
    <row r="193" spans="1:11" ht="23.25" customHeight="1" x14ac:dyDescent="0.25">
      <c r="A193" s="93"/>
      <c r="B193" s="95"/>
      <c r="C193" s="96"/>
      <c r="D193" s="97"/>
      <c r="E193" s="96"/>
      <c r="F193" s="98"/>
      <c r="G193" s="98"/>
      <c r="H193" s="99"/>
      <c r="I193" s="99"/>
      <c r="J193" s="99"/>
      <c r="K193" s="94"/>
    </row>
    <row r="194" spans="1:11" ht="23.25" customHeight="1" x14ac:dyDescent="0.25">
      <c r="A194" s="93"/>
      <c r="B194" s="95"/>
      <c r="C194" s="96"/>
      <c r="D194" s="97"/>
      <c r="E194" s="96"/>
      <c r="F194" s="98"/>
      <c r="G194" s="98"/>
      <c r="H194" s="99"/>
      <c r="I194" s="99"/>
      <c r="J194" s="99"/>
      <c r="K194" s="94"/>
    </row>
    <row r="195" spans="1:11" ht="23.25" customHeight="1" x14ac:dyDescent="0.25">
      <c r="A195" s="93"/>
      <c r="B195" s="95"/>
      <c r="C195" s="96"/>
      <c r="D195" s="97"/>
      <c r="E195" s="96"/>
      <c r="F195" s="98"/>
      <c r="G195" s="98"/>
      <c r="H195" s="99"/>
      <c r="I195" s="99"/>
      <c r="J195" s="99"/>
      <c r="K195" s="94"/>
    </row>
    <row r="196" spans="1:11" ht="23.25" customHeight="1" x14ac:dyDescent="0.25">
      <c r="A196" s="93"/>
      <c r="B196" s="95"/>
      <c r="C196" s="96"/>
      <c r="D196" s="97"/>
      <c r="E196" s="96"/>
      <c r="F196" s="98"/>
      <c r="G196" s="98"/>
      <c r="H196" s="99"/>
      <c r="I196" s="99"/>
      <c r="J196" s="99"/>
      <c r="K196" s="94"/>
    </row>
    <row r="197" spans="1:11" ht="23.25" customHeight="1" x14ac:dyDescent="0.25">
      <c r="A197" s="93"/>
      <c r="B197" s="95"/>
      <c r="C197" s="96"/>
      <c r="D197" s="97"/>
      <c r="E197" s="96"/>
      <c r="F197" s="98"/>
      <c r="G197" s="98"/>
      <c r="H197" s="99"/>
      <c r="I197" s="99"/>
      <c r="J197" s="99"/>
      <c r="K197" s="94"/>
    </row>
    <row r="198" spans="1:11" ht="23.25" customHeight="1" x14ac:dyDescent="0.25">
      <c r="A198" s="93"/>
      <c r="B198" s="95"/>
      <c r="C198" s="96"/>
      <c r="D198" s="97"/>
      <c r="E198" s="96"/>
      <c r="F198" s="98"/>
      <c r="G198" s="98"/>
      <c r="H198" s="99"/>
      <c r="I198" s="99"/>
      <c r="J198" s="99"/>
      <c r="K198" s="94"/>
    </row>
    <row r="199" spans="1:11" ht="23.25" customHeight="1" x14ac:dyDescent="0.25">
      <c r="A199" s="93"/>
      <c r="B199" s="95"/>
      <c r="C199" s="96"/>
      <c r="D199" s="97"/>
      <c r="E199" s="96"/>
      <c r="F199" s="98"/>
      <c r="G199" s="98"/>
      <c r="H199" s="99"/>
      <c r="I199" s="99"/>
      <c r="J199" s="99"/>
      <c r="K199" s="94"/>
    </row>
    <row r="200" spans="1:11" ht="23.25" customHeight="1" x14ac:dyDescent="0.25">
      <c r="A200" s="93"/>
      <c r="B200" s="95"/>
      <c r="C200" s="96"/>
      <c r="D200" s="97"/>
      <c r="E200" s="96"/>
      <c r="F200" s="98"/>
      <c r="G200" s="98"/>
      <c r="H200" s="99"/>
      <c r="I200" s="99"/>
      <c r="J200" s="99"/>
      <c r="K200" s="94"/>
    </row>
    <row r="201" spans="1:11" ht="23.25" customHeight="1" x14ac:dyDescent="0.25">
      <c r="A201" s="93"/>
      <c r="B201" s="95"/>
      <c r="C201" s="96"/>
      <c r="D201" s="97"/>
      <c r="E201" s="96"/>
      <c r="F201" s="98"/>
      <c r="G201" s="98"/>
      <c r="H201" s="99"/>
      <c r="I201" s="99"/>
      <c r="J201" s="99"/>
      <c r="K201" s="94"/>
    </row>
    <row r="202" spans="1:11" ht="23.25" customHeight="1" x14ac:dyDescent="0.25">
      <c r="A202" s="93"/>
      <c r="B202" s="95"/>
      <c r="C202" s="96"/>
      <c r="D202" s="97"/>
      <c r="E202" s="96"/>
      <c r="F202" s="98"/>
      <c r="G202" s="98"/>
      <c r="H202" s="99"/>
      <c r="I202" s="99"/>
      <c r="J202" s="99"/>
      <c r="K202" s="94"/>
    </row>
    <row r="203" spans="1:11" ht="23.25" customHeight="1" x14ac:dyDescent="0.25">
      <c r="A203" s="93"/>
      <c r="B203" s="95"/>
      <c r="C203" s="96"/>
      <c r="D203" s="97"/>
      <c r="E203" s="96"/>
      <c r="F203" s="98"/>
      <c r="G203" s="98"/>
      <c r="H203" s="99"/>
      <c r="I203" s="99"/>
      <c r="J203" s="99"/>
      <c r="K203" s="94"/>
    </row>
    <row r="204" spans="1:11" ht="23.25" customHeight="1" x14ac:dyDescent="0.25">
      <c r="A204" s="93"/>
      <c r="B204" s="95"/>
      <c r="C204" s="96"/>
      <c r="D204" s="97"/>
      <c r="E204" s="96"/>
      <c r="F204" s="98"/>
      <c r="G204" s="98"/>
      <c r="H204" s="99"/>
      <c r="I204" s="99"/>
      <c r="J204" s="99"/>
      <c r="K204" s="94"/>
    </row>
    <row r="205" spans="1:11" ht="23.25" customHeight="1" x14ac:dyDescent="0.25">
      <c r="A205" s="93"/>
      <c r="B205" s="95"/>
      <c r="C205" s="96"/>
      <c r="D205" s="97"/>
      <c r="E205" s="96"/>
      <c r="F205" s="98"/>
      <c r="G205" s="98"/>
      <c r="H205" s="99"/>
      <c r="I205" s="99"/>
      <c r="J205" s="99"/>
      <c r="K205" s="94"/>
    </row>
    <row r="206" spans="1:11" ht="23.25" customHeight="1" x14ac:dyDescent="0.25">
      <c r="A206" s="93"/>
      <c r="B206" s="95"/>
      <c r="C206" s="96"/>
      <c r="D206" s="97"/>
      <c r="E206" s="96"/>
      <c r="F206" s="98"/>
      <c r="G206" s="98"/>
      <c r="H206" s="99"/>
      <c r="I206" s="99"/>
      <c r="J206" s="99"/>
      <c r="K206" s="94"/>
    </row>
    <row r="207" spans="1:11" ht="23.25" customHeight="1" x14ac:dyDescent="0.25">
      <c r="A207" s="93"/>
      <c r="B207" s="95"/>
      <c r="C207" s="96"/>
      <c r="D207" s="97"/>
      <c r="E207" s="96"/>
      <c r="F207" s="98"/>
      <c r="G207" s="98"/>
      <c r="H207" s="99"/>
      <c r="I207" s="99"/>
      <c r="J207" s="99"/>
      <c r="K207" s="94"/>
    </row>
    <row r="208" spans="1:11" ht="23.25" customHeight="1" x14ac:dyDescent="0.25">
      <c r="A208" s="93"/>
      <c r="B208" s="95"/>
      <c r="C208" s="96"/>
      <c r="D208" s="97"/>
      <c r="E208" s="96"/>
      <c r="F208" s="98"/>
      <c r="G208" s="98"/>
      <c r="H208" s="99"/>
      <c r="I208" s="99"/>
      <c r="J208" s="99"/>
      <c r="K208" s="94"/>
    </row>
    <row r="209" spans="1:11" ht="23.25" customHeight="1" x14ac:dyDescent="0.25">
      <c r="A209" s="93"/>
      <c r="B209" s="95"/>
      <c r="C209" s="96"/>
      <c r="D209" s="97"/>
      <c r="E209" s="96"/>
      <c r="F209" s="98"/>
      <c r="G209" s="98"/>
      <c r="H209" s="99"/>
      <c r="I209" s="99"/>
      <c r="J209" s="99"/>
      <c r="K209" s="94"/>
    </row>
    <row r="210" spans="1:11" ht="23.25" customHeight="1" x14ac:dyDescent="0.25">
      <c r="A210" s="93"/>
      <c r="B210" s="95"/>
      <c r="C210" s="96"/>
      <c r="D210" s="97"/>
      <c r="E210" s="96"/>
      <c r="F210" s="98"/>
      <c r="G210" s="98"/>
      <c r="H210" s="99"/>
      <c r="I210" s="99"/>
      <c r="J210" s="99"/>
      <c r="K210" s="94"/>
    </row>
    <row r="211" spans="1:11" ht="23.25" customHeight="1" x14ac:dyDescent="0.25">
      <c r="A211" s="93"/>
      <c r="B211" s="95"/>
      <c r="C211" s="96"/>
      <c r="D211" s="97"/>
      <c r="E211" s="96"/>
      <c r="F211" s="98"/>
      <c r="G211" s="98"/>
      <c r="H211" s="99"/>
      <c r="I211" s="99"/>
      <c r="J211" s="99"/>
      <c r="K211" s="94"/>
    </row>
    <row r="212" spans="1:11" ht="23.25" customHeight="1" x14ac:dyDescent="0.25">
      <c r="A212" s="93"/>
      <c r="B212" s="95"/>
      <c r="C212" s="96"/>
      <c r="D212" s="97"/>
      <c r="E212" s="96"/>
      <c r="F212" s="98"/>
      <c r="G212" s="98"/>
      <c r="H212" s="99"/>
      <c r="I212" s="99"/>
      <c r="J212" s="99"/>
      <c r="K212" s="94"/>
    </row>
    <row r="213" spans="1:11" ht="23.25" customHeight="1" x14ac:dyDescent="0.25">
      <c r="A213" s="93"/>
      <c r="B213" s="95"/>
      <c r="C213" s="96"/>
      <c r="D213" s="97"/>
      <c r="E213" s="96"/>
      <c r="F213" s="98"/>
      <c r="G213" s="98"/>
      <c r="H213" s="99"/>
      <c r="I213" s="99"/>
      <c r="J213" s="99"/>
      <c r="K213" s="94"/>
    </row>
    <row r="214" spans="1:11" ht="23.25" customHeight="1" x14ac:dyDescent="0.25">
      <c r="A214" s="93"/>
      <c r="B214" s="95"/>
      <c r="C214" s="96"/>
      <c r="D214" s="97"/>
      <c r="E214" s="96"/>
      <c r="F214" s="98"/>
      <c r="G214" s="98"/>
      <c r="H214" s="99"/>
      <c r="I214" s="99"/>
      <c r="J214" s="99"/>
      <c r="K214" s="94"/>
    </row>
    <row r="215" spans="1:11" ht="23.25" customHeight="1" x14ac:dyDescent="0.25">
      <c r="A215" s="93"/>
      <c r="B215" s="95"/>
      <c r="C215" s="96"/>
      <c r="D215" s="97"/>
      <c r="E215" s="96"/>
      <c r="F215" s="98"/>
      <c r="G215" s="98"/>
      <c r="H215" s="99"/>
      <c r="I215" s="99"/>
      <c r="J215" s="99"/>
      <c r="K215" s="94"/>
    </row>
    <row r="216" spans="1:11" ht="23.25" customHeight="1" x14ac:dyDescent="0.25">
      <c r="A216" s="93"/>
      <c r="B216" s="95"/>
      <c r="C216" s="96"/>
      <c r="D216" s="97"/>
      <c r="E216" s="96"/>
      <c r="F216" s="98"/>
      <c r="G216" s="98"/>
      <c r="H216" s="99"/>
      <c r="I216" s="99"/>
      <c r="J216" s="99"/>
      <c r="K216" s="94"/>
    </row>
    <row r="217" spans="1:11" ht="23.25" customHeight="1" x14ac:dyDescent="0.25">
      <c r="A217" s="93"/>
      <c r="B217" s="95"/>
      <c r="C217" s="96"/>
      <c r="D217" s="97"/>
      <c r="E217" s="96"/>
      <c r="F217" s="98"/>
      <c r="G217" s="98"/>
      <c r="H217" s="99"/>
      <c r="I217" s="99"/>
      <c r="J217" s="99"/>
      <c r="K217" s="94"/>
    </row>
    <row r="218" spans="1:11" ht="23.25" customHeight="1" x14ac:dyDescent="0.25">
      <c r="A218" s="93"/>
      <c r="B218" s="95"/>
      <c r="C218" s="96"/>
      <c r="D218" s="97"/>
      <c r="E218" s="96"/>
      <c r="F218" s="98"/>
      <c r="G218" s="98"/>
      <c r="H218" s="99"/>
      <c r="I218" s="99"/>
      <c r="J218" s="99"/>
      <c r="K218" s="94"/>
    </row>
    <row r="219" spans="1:11" ht="23.25" customHeight="1" x14ac:dyDescent="0.25">
      <c r="A219" s="93"/>
      <c r="B219" s="95"/>
      <c r="C219" s="96"/>
      <c r="D219" s="97"/>
      <c r="E219" s="96"/>
      <c r="F219" s="98"/>
      <c r="G219" s="98"/>
      <c r="H219" s="99"/>
      <c r="I219" s="99"/>
      <c r="J219" s="99"/>
      <c r="K219" s="94"/>
    </row>
    <row r="220" spans="1:11" ht="23.25" customHeight="1" x14ac:dyDescent="0.25">
      <c r="A220" s="93"/>
      <c r="B220" s="95"/>
      <c r="C220" s="96"/>
      <c r="D220" s="97"/>
      <c r="E220" s="96"/>
      <c r="F220" s="98"/>
      <c r="G220" s="98"/>
      <c r="H220" s="99"/>
      <c r="I220" s="99"/>
      <c r="J220" s="99"/>
      <c r="K220" s="94"/>
    </row>
    <row r="221" spans="1:11" ht="23.25" customHeight="1" x14ac:dyDescent="0.25">
      <c r="A221" s="93"/>
      <c r="B221" s="95"/>
      <c r="C221" s="96"/>
      <c r="D221" s="97"/>
      <c r="E221" s="96"/>
      <c r="F221" s="98"/>
      <c r="G221" s="98"/>
      <c r="H221" s="99"/>
      <c r="I221" s="99"/>
      <c r="J221" s="99"/>
      <c r="K221" s="94"/>
    </row>
    <row r="222" spans="1:11" ht="23.25" customHeight="1" x14ac:dyDescent="0.25">
      <c r="A222" s="93"/>
      <c r="B222" s="95"/>
      <c r="C222" s="96"/>
      <c r="D222" s="97"/>
      <c r="E222" s="96"/>
      <c r="F222" s="98"/>
      <c r="G222" s="98"/>
      <c r="H222" s="99"/>
      <c r="I222" s="99"/>
      <c r="J222" s="99"/>
      <c r="K222" s="94"/>
    </row>
    <row r="223" spans="1:11" ht="23.25" customHeight="1" x14ac:dyDescent="0.25">
      <c r="A223" s="93"/>
      <c r="B223" s="95"/>
      <c r="C223" s="96"/>
      <c r="D223" s="97"/>
      <c r="E223" s="96"/>
      <c r="F223" s="98"/>
      <c r="G223" s="98"/>
      <c r="H223" s="99"/>
      <c r="I223" s="99"/>
      <c r="J223" s="99"/>
      <c r="K223" s="94"/>
    </row>
    <row r="224" spans="1:11" ht="23.25" customHeight="1" x14ac:dyDescent="0.25">
      <c r="A224" s="93"/>
      <c r="B224" s="95"/>
      <c r="C224" s="96"/>
      <c r="D224" s="97"/>
      <c r="E224" s="96"/>
      <c r="F224" s="98"/>
      <c r="G224" s="98"/>
      <c r="H224" s="99"/>
      <c r="I224" s="99"/>
      <c r="J224" s="99"/>
      <c r="K224" s="94"/>
    </row>
    <row r="225" spans="1:11" ht="23.25" customHeight="1" x14ac:dyDescent="0.25">
      <c r="A225" s="93"/>
      <c r="B225" s="95"/>
      <c r="C225" s="96"/>
      <c r="D225" s="97"/>
      <c r="E225" s="96"/>
      <c r="F225" s="98"/>
      <c r="G225" s="98"/>
      <c r="H225" s="99"/>
      <c r="I225" s="99"/>
      <c r="J225" s="99"/>
      <c r="K225" s="94"/>
    </row>
    <row r="226" spans="1:11" ht="23.25" customHeight="1" x14ac:dyDescent="0.25">
      <c r="A226" s="93"/>
      <c r="B226" s="95"/>
      <c r="C226" s="96"/>
      <c r="D226" s="97"/>
      <c r="E226" s="96"/>
      <c r="F226" s="98"/>
      <c r="G226" s="98"/>
      <c r="H226" s="99"/>
      <c r="I226" s="99"/>
      <c r="J226" s="99"/>
      <c r="K226" s="94"/>
    </row>
    <row r="227" spans="1:11" ht="23.25" customHeight="1" x14ac:dyDescent="0.25">
      <c r="A227" s="93"/>
      <c r="B227" s="95"/>
      <c r="C227" s="96"/>
      <c r="D227" s="97"/>
      <c r="E227" s="96"/>
      <c r="F227" s="98"/>
      <c r="G227" s="98"/>
      <c r="H227" s="99"/>
      <c r="I227" s="99"/>
      <c r="J227" s="99"/>
      <c r="K227" s="94"/>
    </row>
    <row r="228" spans="1:11" ht="23.25" customHeight="1" x14ac:dyDescent="0.25">
      <c r="A228" s="93"/>
      <c r="B228" s="95"/>
      <c r="C228" s="96"/>
      <c r="D228" s="97"/>
      <c r="E228" s="96"/>
      <c r="F228" s="98"/>
      <c r="G228" s="98"/>
      <c r="H228" s="99"/>
      <c r="I228" s="99"/>
      <c r="J228" s="99"/>
      <c r="K228" s="94"/>
    </row>
    <row r="229" spans="1:11" ht="23.25" customHeight="1" x14ac:dyDescent="0.25">
      <c r="A229" s="93"/>
      <c r="B229" s="95"/>
      <c r="C229" s="96"/>
      <c r="D229" s="97"/>
      <c r="E229" s="96"/>
      <c r="F229" s="98"/>
      <c r="G229" s="98"/>
      <c r="H229" s="99"/>
      <c r="I229" s="99"/>
      <c r="J229" s="99"/>
      <c r="K229" s="94"/>
    </row>
    <row r="230" spans="1:11" ht="23.25" customHeight="1" x14ac:dyDescent="0.25">
      <c r="A230" s="93"/>
      <c r="B230" s="95"/>
      <c r="C230" s="96"/>
      <c r="D230" s="97"/>
      <c r="E230" s="96"/>
      <c r="F230" s="98"/>
      <c r="G230" s="98"/>
      <c r="H230" s="99"/>
      <c r="I230" s="99"/>
      <c r="J230" s="99"/>
      <c r="K230" s="94"/>
    </row>
    <row r="231" spans="1:11" ht="23.25" customHeight="1" x14ac:dyDescent="0.25">
      <c r="A231" s="93"/>
      <c r="B231" s="95"/>
      <c r="C231" s="96"/>
      <c r="D231" s="97"/>
      <c r="E231" s="96"/>
      <c r="F231" s="98"/>
      <c r="G231" s="98"/>
      <c r="H231" s="99"/>
      <c r="I231" s="99"/>
      <c r="J231" s="99"/>
      <c r="K231" s="94"/>
    </row>
    <row r="232" spans="1:11" ht="23.25" customHeight="1" x14ac:dyDescent="0.25">
      <c r="A232" s="93"/>
      <c r="B232" s="95"/>
      <c r="C232" s="96"/>
      <c r="D232" s="97"/>
      <c r="E232" s="96"/>
      <c r="F232" s="98"/>
      <c r="G232" s="98"/>
      <c r="H232" s="99"/>
      <c r="I232" s="99"/>
      <c r="J232" s="99"/>
      <c r="K232" s="94"/>
    </row>
    <row r="233" spans="1:11" ht="23.25" customHeight="1" x14ac:dyDescent="0.25">
      <c r="A233" s="93"/>
      <c r="B233" s="95"/>
      <c r="C233" s="96"/>
      <c r="D233" s="97"/>
      <c r="E233" s="96"/>
      <c r="F233" s="98"/>
      <c r="G233" s="98"/>
      <c r="H233" s="99"/>
      <c r="I233" s="99"/>
      <c r="J233" s="99"/>
      <c r="K233" s="94"/>
    </row>
    <row r="234" spans="1:11" ht="23.25" customHeight="1" x14ac:dyDescent="0.25">
      <c r="A234" s="93"/>
      <c r="B234" s="95"/>
      <c r="C234" s="96"/>
      <c r="D234" s="97"/>
      <c r="E234" s="96"/>
      <c r="F234" s="98"/>
      <c r="G234" s="98"/>
      <c r="H234" s="99"/>
      <c r="I234" s="99"/>
      <c r="J234" s="99"/>
      <c r="K234" s="94"/>
    </row>
    <row r="235" spans="1:11" ht="23.25" customHeight="1" x14ac:dyDescent="0.25">
      <c r="A235" s="93"/>
      <c r="B235" s="95"/>
      <c r="C235" s="96"/>
      <c r="D235" s="97"/>
      <c r="E235" s="96"/>
      <c r="F235" s="98"/>
      <c r="G235" s="98"/>
      <c r="H235" s="99"/>
      <c r="I235" s="99"/>
      <c r="J235" s="99"/>
      <c r="K235" s="94"/>
    </row>
    <row r="236" spans="1:11" ht="23.25" customHeight="1" x14ac:dyDescent="0.25">
      <c r="A236" s="93"/>
      <c r="B236" s="95"/>
      <c r="C236" s="96"/>
      <c r="D236" s="97"/>
      <c r="E236" s="96"/>
      <c r="F236" s="98"/>
      <c r="G236" s="98"/>
      <c r="H236" s="99"/>
      <c r="I236" s="99"/>
      <c r="J236" s="99"/>
      <c r="K236" s="94"/>
    </row>
    <row r="237" spans="1:11" ht="23.25" customHeight="1" x14ac:dyDescent="0.25">
      <c r="A237" s="93"/>
      <c r="B237" s="95"/>
      <c r="C237" s="96"/>
      <c r="D237" s="97"/>
      <c r="E237" s="96"/>
      <c r="F237" s="98"/>
      <c r="G237" s="98"/>
      <c r="H237" s="99"/>
      <c r="I237" s="99"/>
      <c r="J237" s="99"/>
      <c r="K237" s="94"/>
    </row>
    <row r="238" spans="1:11" ht="23.25" customHeight="1" x14ac:dyDescent="0.25">
      <c r="A238" s="93"/>
      <c r="B238" s="95"/>
      <c r="C238" s="96"/>
      <c r="D238" s="97"/>
      <c r="E238" s="96"/>
      <c r="F238" s="98"/>
      <c r="G238" s="98"/>
      <c r="H238" s="99"/>
      <c r="I238" s="99"/>
      <c r="J238" s="99"/>
      <c r="K238" s="94"/>
    </row>
    <row r="239" spans="1:11" ht="23.25" customHeight="1" x14ac:dyDescent="0.25">
      <c r="A239" s="93"/>
      <c r="B239" s="95"/>
      <c r="C239" s="96"/>
      <c r="D239" s="97"/>
      <c r="E239" s="96"/>
      <c r="F239" s="98"/>
      <c r="G239" s="98"/>
      <c r="H239" s="99"/>
      <c r="I239" s="99"/>
      <c r="J239" s="99"/>
      <c r="K239" s="94"/>
    </row>
    <row r="240" spans="1:11" ht="23.25" customHeight="1" x14ac:dyDescent="0.25">
      <c r="A240" s="93"/>
      <c r="B240" s="95"/>
      <c r="C240" s="96"/>
      <c r="D240" s="97"/>
      <c r="E240" s="96"/>
      <c r="F240" s="98"/>
      <c r="G240" s="98"/>
      <c r="H240" s="99"/>
      <c r="I240" s="99"/>
      <c r="J240" s="99"/>
      <c r="K240" s="94"/>
    </row>
    <row r="241" spans="1:11" ht="23.25" customHeight="1" x14ac:dyDescent="0.25">
      <c r="A241" s="93"/>
      <c r="B241" s="95"/>
      <c r="C241" s="96"/>
      <c r="D241" s="97"/>
      <c r="E241" s="96"/>
      <c r="F241" s="98"/>
      <c r="G241" s="98"/>
      <c r="H241" s="99"/>
      <c r="I241" s="99"/>
      <c r="J241" s="99"/>
      <c r="K241" s="94"/>
    </row>
    <row r="242" spans="1:11" ht="23.25" customHeight="1" x14ac:dyDescent="0.25">
      <c r="A242" s="93"/>
      <c r="B242" s="95"/>
      <c r="C242" s="96"/>
      <c r="D242" s="97"/>
      <c r="E242" s="96"/>
      <c r="F242" s="98"/>
      <c r="G242" s="98"/>
      <c r="H242" s="99"/>
      <c r="I242" s="99"/>
      <c r="J242" s="99"/>
      <c r="K242" s="94"/>
    </row>
    <row r="243" spans="1:11" ht="23.25" customHeight="1" x14ac:dyDescent="0.25">
      <c r="A243" s="93"/>
      <c r="B243" s="95"/>
      <c r="C243" s="96"/>
      <c r="D243" s="97"/>
      <c r="E243" s="96"/>
      <c r="F243" s="98"/>
      <c r="G243" s="98"/>
      <c r="H243" s="99"/>
      <c r="I243" s="99"/>
      <c r="J243" s="99"/>
      <c r="K243" s="94"/>
    </row>
    <row r="244" spans="1:11" ht="23.25" customHeight="1" x14ac:dyDescent="0.25">
      <c r="A244" s="93"/>
      <c r="B244" s="95"/>
      <c r="C244" s="96"/>
      <c r="D244" s="97"/>
      <c r="E244" s="96"/>
      <c r="F244" s="98"/>
      <c r="G244" s="98"/>
      <c r="H244" s="99"/>
      <c r="I244" s="99"/>
      <c r="J244" s="99"/>
      <c r="K244" s="94"/>
    </row>
    <row r="245" spans="1:11" ht="23.25" customHeight="1" x14ac:dyDescent="0.25">
      <c r="A245" s="93"/>
      <c r="B245" s="95"/>
      <c r="C245" s="96"/>
      <c r="D245" s="97"/>
      <c r="E245" s="96"/>
      <c r="F245" s="98"/>
      <c r="G245" s="98"/>
      <c r="H245" s="99"/>
      <c r="I245" s="99"/>
      <c r="J245" s="99"/>
      <c r="K245" s="94"/>
    </row>
    <row r="246" spans="1:11" ht="23.25" customHeight="1" x14ac:dyDescent="0.25">
      <c r="A246" s="93"/>
      <c r="B246" s="95"/>
      <c r="C246" s="96"/>
      <c r="D246" s="97"/>
      <c r="E246" s="96"/>
      <c r="F246" s="98"/>
      <c r="G246" s="98"/>
      <c r="H246" s="99"/>
      <c r="I246" s="99"/>
      <c r="J246" s="99"/>
      <c r="K246" s="94"/>
    </row>
    <row r="247" spans="1:11" ht="23.25" customHeight="1" x14ac:dyDescent="0.25">
      <c r="A247" s="93"/>
      <c r="B247" s="95"/>
      <c r="C247" s="96"/>
      <c r="D247" s="97"/>
      <c r="E247" s="96"/>
      <c r="F247" s="98"/>
      <c r="G247" s="98"/>
      <c r="H247" s="99"/>
      <c r="I247" s="99"/>
      <c r="J247" s="99"/>
      <c r="K247" s="94"/>
    </row>
    <row r="248" spans="1:11" ht="23.25" customHeight="1" x14ac:dyDescent="0.25">
      <c r="A248" s="93"/>
      <c r="B248" s="95"/>
      <c r="C248" s="96"/>
      <c r="D248" s="97"/>
      <c r="E248" s="96"/>
      <c r="F248" s="98"/>
      <c r="G248" s="98"/>
      <c r="H248" s="99"/>
      <c r="I248" s="99"/>
      <c r="J248" s="99"/>
      <c r="K248" s="94"/>
    </row>
    <row r="249" spans="1:11" ht="23.25" customHeight="1" x14ac:dyDescent="0.25">
      <c r="A249" s="93"/>
      <c r="B249" s="95"/>
      <c r="C249" s="96"/>
      <c r="D249" s="97"/>
      <c r="E249" s="96"/>
      <c r="F249" s="98"/>
      <c r="G249" s="98"/>
      <c r="H249" s="99"/>
      <c r="I249" s="99"/>
      <c r="J249" s="99"/>
      <c r="K249" s="94"/>
    </row>
    <row r="250" spans="1:11" ht="23.25" customHeight="1" x14ac:dyDescent="0.25">
      <c r="A250" s="93"/>
      <c r="B250" s="95"/>
      <c r="C250" s="96"/>
      <c r="D250" s="97"/>
      <c r="E250" s="96"/>
      <c r="F250" s="98"/>
      <c r="G250" s="98"/>
      <c r="H250" s="99"/>
      <c r="I250" s="99"/>
      <c r="J250" s="99"/>
      <c r="K250" s="94"/>
    </row>
    <row r="251" spans="1:11" ht="23.25" customHeight="1" x14ac:dyDescent="0.25">
      <c r="A251" s="93"/>
      <c r="B251" s="95"/>
      <c r="C251" s="96"/>
      <c r="D251" s="97"/>
      <c r="E251" s="96"/>
      <c r="F251" s="98"/>
      <c r="G251" s="98"/>
      <c r="H251" s="99"/>
      <c r="I251" s="99"/>
      <c r="J251" s="99"/>
      <c r="K251" s="94"/>
    </row>
    <row r="252" spans="1:11" ht="23.25" customHeight="1" x14ac:dyDescent="0.25">
      <c r="A252" s="93"/>
      <c r="B252" s="95"/>
      <c r="C252" s="96"/>
      <c r="D252" s="97"/>
      <c r="E252" s="96"/>
      <c r="F252" s="98"/>
      <c r="G252" s="98"/>
      <c r="H252" s="99"/>
      <c r="I252" s="99"/>
      <c r="J252" s="99"/>
      <c r="K252" s="94"/>
    </row>
    <row r="253" spans="1:11" ht="23.25" customHeight="1" x14ac:dyDescent="0.25">
      <c r="A253" s="93"/>
      <c r="B253" s="95"/>
      <c r="C253" s="96"/>
      <c r="D253" s="97"/>
      <c r="E253" s="96"/>
      <c r="F253" s="98"/>
      <c r="G253" s="98"/>
      <c r="H253" s="99"/>
      <c r="I253" s="99"/>
      <c r="J253" s="99"/>
      <c r="K253" s="94"/>
    </row>
    <row r="254" spans="1:11" ht="23.25" customHeight="1" x14ac:dyDescent="0.25">
      <c r="A254" s="93"/>
      <c r="B254" s="95"/>
      <c r="C254" s="96"/>
      <c r="D254" s="97"/>
      <c r="E254" s="96"/>
      <c r="F254" s="98"/>
      <c r="G254" s="98"/>
      <c r="H254" s="99"/>
      <c r="I254" s="99"/>
      <c r="J254" s="99"/>
      <c r="K254" s="94"/>
    </row>
    <row r="255" spans="1:11" ht="23.25" customHeight="1" x14ac:dyDescent="0.25">
      <c r="A255" s="93"/>
      <c r="B255" s="95"/>
      <c r="C255" s="96"/>
      <c r="D255" s="97"/>
      <c r="E255" s="96"/>
      <c r="F255" s="98"/>
      <c r="G255" s="98"/>
      <c r="H255" s="99"/>
      <c r="I255" s="99"/>
      <c r="J255" s="99"/>
      <c r="K255" s="94"/>
    </row>
    <row r="256" spans="1:11" ht="23.25" customHeight="1" x14ac:dyDescent="0.25">
      <c r="A256" s="93"/>
      <c r="B256" s="95"/>
      <c r="C256" s="96"/>
      <c r="D256" s="97"/>
      <c r="E256" s="96"/>
      <c r="F256" s="98"/>
      <c r="G256" s="98"/>
      <c r="H256" s="99"/>
      <c r="I256" s="99"/>
      <c r="J256" s="99"/>
      <c r="K256" s="94"/>
    </row>
    <row r="257" spans="1:11" ht="23.25" customHeight="1" x14ac:dyDescent="0.25">
      <c r="A257" s="93"/>
      <c r="B257" s="95"/>
      <c r="C257" s="96"/>
      <c r="D257" s="97"/>
      <c r="E257" s="96"/>
      <c r="F257" s="98"/>
      <c r="G257" s="98"/>
      <c r="H257" s="99"/>
      <c r="I257" s="99"/>
      <c r="J257" s="99"/>
      <c r="K257" s="94"/>
    </row>
    <row r="258" spans="1:11" ht="23.25" customHeight="1" x14ac:dyDescent="0.25">
      <c r="A258" s="93"/>
      <c r="B258" s="95"/>
      <c r="C258" s="96"/>
      <c r="D258" s="97"/>
      <c r="E258" s="96"/>
      <c r="F258" s="98"/>
      <c r="G258" s="98"/>
      <c r="H258" s="99"/>
      <c r="I258" s="99"/>
      <c r="J258" s="99"/>
      <c r="K258" s="94"/>
    </row>
    <row r="259" spans="1:11" ht="23.25" customHeight="1" x14ac:dyDescent="0.25">
      <c r="A259" s="93"/>
      <c r="B259" s="95"/>
      <c r="C259" s="96"/>
      <c r="D259" s="97"/>
      <c r="E259" s="96"/>
      <c r="F259" s="98"/>
      <c r="G259" s="98"/>
      <c r="H259" s="99"/>
      <c r="I259" s="99"/>
      <c r="J259" s="99"/>
      <c r="K259" s="94"/>
    </row>
    <row r="260" spans="1:11" ht="23.25" customHeight="1" x14ac:dyDescent="0.25">
      <c r="A260" s="93"/>
      <c r="B260" s="95"/>
      <c r="C260" s="96"/>
      <c r="D260" s="97"/>
      <c r="E260" s="96"/>
      <c r="F260" s="98"/>
      <c r="G260" s="98"/>
      <c r="H260" s="99"/>
      <c r="I260" s="99"/>
      <c r="J260" s="99"/>
      <c r="K260" s="94"/>
    </row>
    <row r="261" spans="1:11" ht="15.75" x14ac:dyDescent="0.25">
      <c r="A261" s="93"/>
      <c r="B261" s="95"/>
      <c r="C261" s="96"/>
      <c r="D261" s="97"/>
      <c r="E261" s="96"/>
      <c r="F261" s="98"/>
      <c r="G261" s="98"/>
      <c r="H261" s="99"/>
      <c r="I261" s="99"/>
      <c r="J261" s="99"/>
      <c r="K261" s="94"/>
    </row>
    <row r="262" spans="1:11" ht="23.25" customHeight="1" x14ac:dyDescent="0.25">
      <c r="A262" s="93"/>
      <c r="B262" s="95"/>
      <c r="C262" s="96"/>
      <c r="D262" s="97"/>
      <c r="E262" s="96"/>
      <c r="F262" s="98"/>
      <c r="G262" s="98"/>
      <c r="H262" s="99"/>
      <c r="I262" s="99"/>
      <c r="J262" s="99"/>
      <c r="K262" s="94"/>
    </row>
    <row r="263" spans="1:11" ht="23.25" customHeight="1" x14ac:dyDescent="0.25">
      <c r="A263" s="93"/>
      <c r="B263" s="95"/>
      <c r="C263" s="96"/>
      <c r="D263" s="97"/>
      <c r="E263" s="96"/>
      <c r="F263" s="98"/>
      <c r="G263" s="98"/>
      <c r="H263" s="99"/>
      <c r="I263" s="99"/>
      <c r="J263" s="99"/>
      <c r="K263" s="94"/>
    </row>
    <row r="264" spans="1:11" ht="23.25" customHeight="1" x14ac:dyDescent="0.25">
      <c r="A264" s="93"/>
      <c r="B264" s="95"/>
      <c r="C264" s="96"/>
      <c r="D264" s="97"/>
      <c r="E264" s="96"/>
      <c r="F264" s="98"/>
      <c r="G264" s="98"/>
      <c r="H264" s="99"/>
      <c r="I264" s="99"/>
      <c r="J264" s="99"/>
      <c r="K264" s="94"/>
    </row>
    <row r="265" spans="1:11" ht="23.25" customHeight="1" x14ac:dyDescent="0.25">
      <c r="A265" s="93"/>
      <c r="B265" s="95"/>
      <c r="C265" s="96"/>
      <c r="D265" s="97"/>
      <c r="E265" s="96"/>
      <c r="F265" s="98"/>
      <c r="G265" s="98"/>
      <c r="H265" s="99"/>
      <c r="I265" s="99"/>
      <c r="J265" s="99"/>
      <c r="K265" s="94"/>
    </row>
    <row r="266" spans="1:11" ht="23.25" customHeight="1" x14ac:dyDescent="0.25">
      <c r="A266" s="93"/>
      <c r="B266" s="95"/>
      <c r="C266" s="96"/>
      <c r="D266" s="97"/>
      <c r="E266" s="96"/>
      <c r="F266" s="98"/>
      <c r="G266" s="98"/>
      <c r="H266" s="99"/>
      <c r="I266" s="99"/>
      <c r="J266" s="99"/>
      <c r="K266" s="94"/>
    </row>
    <row r="267" spans="1:11" ht="23.25" customHeight="1" x14ac:dyDescent="0.25">
      <c r="A267" s="93"/>
      <c r="B267" s="95"/>
      <c r="C267" s="96"/>
      <c r="D267" s="97"/>
      <c r="E267" s="96"/>
      <c r="F267" s="98"/>
      <c r="G267" s="98"/>
      <c r="H267" s="99"/>
      <c r="I267" s="99"/>
      <c r="J267" s="99"/>
      <c r="K267" s="94"/>
    </row>
    <row r="268" spans="1:11" ht="23.25" customHeight="1" x14ac:dyDescent="0.25">
      <c r="A268" s="93"/>
      <c r="B268" s="95"/>
      <c r="C268" s="96"/>
      <c r="D268" s="97"/>
      <c r="E268" s="96"/>
      <c r="F268" s="98"/>
      <c r="G268" s="98"/>
      <c r="H268" s="99"/>
      <c r="I268" s="99"/>
      <c r="J268" s="99"/>
      <c r="K268" s="94"/>
    </row>
    <row r="269" spans="1:11" ht="23.25" customHeight="1" x14ac:dyDescent="0.25">
      <c r="A269" s="93"/>
      <c r="B269" s="95"/>
      <c r="C269" s="96"/>
      <c r="D269" s="97"/>
      <c r="E269" s="96"/>
      <c r="F269" s="98"/>
      <c r="G269" s="98"/>
      <c r="H269" s="99"/>
      <c r="I269" s="99"/>
      <c r="J269" s="99"/>
      <c r="K269" s="94"/>
    </row>
    <row r="270" spans="1:11" ht="23.25" customHeight="1" x14ac:dyDescent="0.25">
      <c r="A270" s="93"/>
      <c r="B270" s="95"/>
      <c r="C270" s="96"/>
      <c r="D270" s="97"/>
      <c r="E270" s="96"/>
      <c r="F270" s="98"/>
      <c r="G270" s="98"/>
      <c r="H270" s="99"/>
      <c r="I270" s="99"/>
      <c r="J270" s="99"/>
      <c r="K270" s="94"/>
    </row>
    <row r="271" spans="1:11" ht="23.25" customHeight="1" x14ac:dyDescent="0.25">
      <c r="A271" s="93"/>
      <c r="B271" s="95"/>
      <c r="C271" s="96"/>
      <c r="D271" s="97"/>
      <c r="E271" s="96"/>
      <c r="F271" s="98"/>
      <c r="G271" s="98"/>
      <c r="H271" s="99"/>
      <c r="I271" s="99"/>
      <c r="J271" s="99"/>
      <c r="K271" s="94"/>
    </row>
    <row r="272" spans="1:11" ht="23.25" customHeight="1" x14ac:dyDescent="0.25">
      <c r="A272" s="93"/>
      <c r="B272" s="95"/>
      <c r="C272" s="96"/>
      <c r="D272" s="97"/>
      <c r="E272" s="96"/>
      <c r="F272" s="98"/>
      <c r="G272" s="98"/>
      <c r="H272" s="99"/>
      <c r="I272" s="99"/>
      <c r="J272" s="99"/>
      <c r="K272" s="94"/>
    </row>
    <row r="273" spans="1:11" ht="23.25" customHeight="1" x14ac:dyDescent="0.25">
      <c r="A273" s="93"/>
      <c r="B273" s="95"/>
      <c r="C273" s="96"/>
      <c r="D273" s="97"/>
      <c r="E273" s="96"/>
      <c r="F273" s="98"/>
      <c r="G273" s="98"/>
      <c r="H273" s="99"/>
      <c r="I273" s="99"/>
      <c r="J273" s="99"/>
      <c r="K273" s="94"/>
    </row>
    <row r="274" spans="1:11" ht="23.25" customHeight="1" x14ac:dyDescent="0.25">
      <c r="A274" s="93"/>
      <c r="B274" s="95"/>
      <c r="C274" s="96"/>
      <c r="D274" s="97"/>
      <c r="E274" s="96"/>
      <c r="F274" s="98"/>
      <c r="G274" s="98"/>
      <c r="H274" s="99"/>
      <c r="I274" s="99"/>
      <c r="J274" s="99"/>
      <c r="K274" s="94"/>
    </row>
    <row r="275" spans="1:11" ht="23.25" customHeight="1" x14ac:dyDescent="0.25">
      <c r="A275" s="93"/>
      <c r="B275" s="95"/>
      <c r="C275" s="96"/>
      <c r="D275" s="97"/>
      <c r="E275" s="96"/>
      <c r="F275" s="98"/>
      <c r="G275" s="98"/>
      <c r="H275" s="99"/>
      <c r="I275" s="99"/>
      <c r="J275" s="99"/>
      <c r="K275" s="94"/>
    </row>
    <row r="276" spans="1:11" ht="23.25" customHeight="1" x14ac:dyDescent="0.25">
      <c r="A276" s="93"/>
      <c r="B276" s="95"/>
      <c r="C276" s="96"/>
      <c r="D276" s="97"/>
      <c r="E276" s="96"/>
      <c r="F276" s="98"/>
      <c r="G276" s="98"/>
      <c r="H276" s="99"/>
      <c r="I276" s="99"/>
      <c r="J276" s="99"/>
      <c r="K276" s="94"/>
    </row>
    <row r="277" spans="1:11" ht="15.75" x14ac:dyDescent="0.25">
      <c r="A277" s="93"/>
      <c r="B277" s="95"/>
      <c r="C277" s="96"/>
      <c r="D277" s="97"/>
      <c r="E277" s="96"/>
      <c r="F277" s="98"/>
      <c r="G277" s="98"/>
      <c r="H277" s="99"/>
      <c r="I277" s="99"/>
      <c r="J277" s="99"/>
      <c r="K277" s="94"/>
    </row>
    <row r="278" spans="1:11" ht="15.75" x14ac:dyDescent="0.25">
      <c r="A278" s="93"/>
      <c r="B278" s="95"/>
      <c r="C278" s="96"/>
      <c r="D278" s="97"/>
      <c r="E278" s="96"/>
      <c r="F278" s="98"/>
      <c r="G278" s="98"/>
      <c r="H278" s="99"/>
      <c r="I278" s="99"/>
      <c r="J278" s="99"/>
      <c r="K278" s="94"/>
    </row>
    <row r="279" spans="1:11" ht="23.25" customHeight="1" x14ac:dyDescent="0.25">
      <c r="A279" s="93"/>
      <c r="B279" s="95"/>
      <c r="C279" s="96"/>
      <c r="D279" s="102"/>
      <c r="E279" s="96"/>
      <c r="F279" s="98"/>
      <c r="G279" s="98"/>
      <c r="H279" s="99"/>
      <c r="I279" s="99"/>
      <c r="J279" s="99"/>
      <c r="K279" s="94"/>
    </row>
    <row r="280" spans="1:11" ht="15.75" x14ac:dyDescent="0.25">
      <c r="A280" s="93"/>
      <c r="B280" s="95"/>
      <c r="C280" s="96"/>
      <c r="D280" s="102"/>
      <c r="E280" s="96"/>
      <c r="F280" s="98"/>
      <c r="G280" s="98"/>
      <c r="H280" s="99"/>
      <c r="I280" s="99"/>
      <c r="J280" s="99"/>
      <c r="K280" s="94"/>
    </row>
    <row r="281" spans="1:11" ht="23.25" customHeight="1" x14ac:dyDescent="0.25">
      <c r="A281" s="93"/>
      <c r="B281" s="95"/>
      <c r="C281" s="96"/>
      <c r="D281" s="102"/>
      <c r="E281" s="96"/>
      <c r="F281" s="98"/>
      <c r="G281" s="98"/>
      <c r="H281" s="99"/>
      <c r="I281" s="99"/>
      <c r="J281" s="99"/>
      <c r="K281" s="94"/>
    </row>
    <row r="282" spans="1:11" ht="23.25" customHeight="1" x14ac:dyDescent="0.25">
      <c r="A282" s="93"/>
      <c r="B282" s="95"/>
      <c r="C282" s="96"/>
      <c r="D282" s="102"/>
      <c r="E282" s="96"/>
      <c r="F282" s="98"/>
      <c r="G282" s="98"/>
      <c r="H282" s="99"/>
      <c r="I282" s="99"/>
      <c r="J282" s="99"/>
      <c r="K282" s="94"/>
    </row>
    <row r="283" spans="1:11" ht="23.25" customHeight="1" x14ac:dyDescent="0.25">
      <c r="A283" s="93"/>
      <c r="B283" s="95"/>
      <c r="C283" s="96"/>
      <c r="D283" s="102"/>
      <c r="E283" s="96"/>
      <c r="F283" s="98"/>
      <c r="G283" s="98"/>
      <c r="H283" s="99"/>
      <c r="I283" s="99"/>
      <c r="J283" s="99"/>
      <c r="K283" s="94"/>
    </row>
    <row r="284" spans="1:11" ht="23.25" customHeight="1" x14ac:dyDescent="0.25">
      <c r="A284" s="93"/>
      <c r="B284" s="95"/>
      <c r="C284" s="96"/>
      <c r="D284" s="102"/>
      <c r="E284" s="96"/>
      <c r="F284" s="98"/>
      <c r="G284" s="98"/>
      <c r="H284" s="99"/>
      <c r="I284" s="99"/>
      <c r="J284" s="99"/>
      <c r="K284" s="94"/>
    </row>
    <row r="285" spans="1:11" ht="23.25" customHeight="1" x14ac:dyDescent="0.25">
      <c r="A285" s="93"/>
      <c r="B285" s="95"/>
      <c r="C285" s="96"/>
      <c r="D285" s="102"/>
      <c r="E285" s="96"/>
      <c r="F285" s="98"/>
      <c r="G285" s="98"/>
      <c r="H285" s="99"/>
      <c r="I285" s="99"/>
      <c r="J285" s="99"/>
      <c r="K285" s="94"/>
    </row>
    <row r="286" spans="1:11" ht="23.25" customHeight="1" x14ac:dyDescent="0.25">
      <c r="A286" s="93"/>
      <c r="B286" s="95"/>
      <c r="C286" s="96"/>
      <c r="D286" s="102"/>
      <c r="E286" s="96"/>
      <c r="F286" s="98"/>
      <c r="G286" s="98"/>
      <c r="H286" s="99"/>
      <c r="I286" s="99"/>
      <c r="J286" s="99"/>
      <c r="K286" s="94"/>
    </row>
    <row r="287" spans="1:11" ht="15.75" x14ac:dyDescent="0.25">
      <c r="A287" s="93"/>
      <c r="B287" s="95"/>
      <c r="C287" s="96"/>
      <c r="D287" s="102"/>
      <c r="E287" s="96"/>
      <c r="F287" s="98"/>
      <c r="G287" s="98"/>
      <c r="H287" s="99"/>
      <c r="I287" s="99"/>
      <c r="J287" s="99"/>
      <c r="K287" s="94"/>
    </row>
    <row r="288" spans="1:11" ht="15.75" x14ac:dyDescent="0.25">
      <c r="A288" s="93"/>
      <c r="B288" s="95"/>
      <c r="C288" s="96"/>
      <c r="D288" s="102"/>
      <c r="E288" s="96"/>
      <c r="F288" s="98"/>
      <c r="G288" s="98"/>
      <c r="H288" s="99"/>
      <c r="I288" s="99"/>
      <c r="J288" s="99"/>
      <c r="K288" s="94"/>
    </row>
    <row r="289" spans="1:11" ht="15.75" x14ac:dyDescent="0.25">
      <c r="A289" s="93"/>
      <c r="B289" s="95"/>
      <c r="C289" s="96"/>
      <c r="D289" s="102"/>
      <c r="E289" s="96"/>
      <c r="F289" s="98"/>
      <c r="G289" s="98"/>
      <c r="H289" s="99"/>
      <c r="I289" s="99"/>
      <c r="J289" s="99"/>
      <c r="K289" s="94"/>
    </row>
    <row r="290" spans="1:11" ht="15.75" x14ac:dyDescent="0.25">
      <c r="A290" s="93"/>
      <c r="B290" s="95"/>
      <c r="C290" s="96"/>
      <c r="D290" s="102"/>
      <c r="E290" s="96"/>
      <c r="F290" s="98"/>
      <c r="G290" s="98"/>
      <c r="H290" s="99"/>
      <c r="I290" s="99"/>
      <c r="J290" s="99"/>
      <c r="K290" s="94"/>
    </row>
    <row r="291" spans="1:11" ht="15.75" x14ac:dyDescent="0.25">
      <c r="A291" s="93"/>
      <c r="B291" s="95"/>
      <c r="C291" s="96"/>
      <c r="D291" s="102"/>
      <c r="E291" s="96"/>
      <c r="F291" s="98"/>
      <c r="G291" s="98"/>
      <c r="H291" s="99"/>
      <c r="I291" s="99"/>
      <c r="J291" s="99"/>
      <c r="K291" s="94"/>
    </row>
    <row r="292" spans="1:11" ht="15.75" x14ac:dyDescent="0.25">
      <c r="A292" s="93"/>
      <c r="B292" s="95"/>
      <c r="C292" s="96"/>
      <c r="D292" s="102"/>
      <c r="E292" s="96"/>
      <c r="F292" s="98"/>
      <c r="G292" s="98"/>
      <c r="H292" s="99"/>
      <c r="I292" s="99"/>
      <c r="J292" s="99"/>
      <c r="K292" s="94"/>
    </row>
    <row r="293" spans="1:11" ht="15.75" x14ac:dyDescent="0.25">
      <c r="A293" s="93"/>
      <c r="B293" s="95"/>
      <c r="C293" s="96"/>
      <c r="D293" s="102"/>
      <c r="E293" s="96"/>
      <c r="F293" s="98"/>
      <c r="G293" s="98"/>
      <c r="H293" s="99"/>
      <c r="I293" s="99"/>
      <c r="J293" s="99"/>
      <c r="K293" s="94"/>
    </row>
    <row r="294" spans="1:11" ht="15.75" x14ac:dyDescent="0.25">
      <c r="A294" s="93"/>
      <c r="B294" s="95"/>
      <c r="C294" s="96"/>
      <c r="D294" s="102"/>
      <c r="E294" s="96"/>
      <c r="F294" s="98"/>
      <c r="G294" s="98"/>
      <c r="H294" s="99"/>
      <c r="I294" s="99"/>
      <c r="J294" s="99"/>
      <c r="K294" s="94"/>
    </row>
    <row r="295" spans="1:11" ht="15.75" x14ac:dyDescent="0.25">
      <c r="A295" s="93"/>
      <c r="B295" s="95"/>
      <c r="C295" s="96"/>
      <c r="D295" s="102"/>
      <c r="E295" s="96"/>
      <c r="F295" s="98"/>
      <c r="G295" s="98"/>
      <c r="H295" s="99"/>
      <c r="I295" s="99"/>
      <c r="J295" s="99"/>
      <c r="K295" s="94"/>
    </row>
    <row r="296" spans="1:11" ht="15.75" x14ac:dyDescent="0.25">
      <c r="A296" s="93"/>
      <c r="B296" s="95"/>
      <c r="C296" s="96"/>
      <c r="D296" s="102"/>
      <c r="E296" s="96"/>
      <c r="F296" s="98"/>
      <c r="G296" s="98"/>
      <c r="H296" s="99"/>
      <c r="I296" s="99"/>
      <c r="J296" s="99"/>
      <c r="K296" s="94"/>
    </row>
    <row r="297" spans="1:11" ht="15.75" x14ac:dyDescent="0.25">
      <c r="A297" s="93"/>
      <c r="B297" s="95"/>
      <c r="C297" s="96"/>
      <c r="D297" s="102"/>
      <c r="E297" s="96"/>
      <c r="F297" s="98"/>
      <c r="G297" s="98"/>
      <c r="H297" s="99"/>
      <c r="I297" s="99"/>
      <c r="J297" s="99"/>
      <c r="K297" s="94"/>
    </row>
    <row r="298" spans="1:11" ht="39.75" customHeight="1" x14ac:dyDescent="0.25">
      <c r="A298" s="93"/>
      <c r="B298" s="95"/>
      <c r="C298" s="96"/>
      <c r="D298" s="102"/>
      <c r="E298" s="96"/>
      <c r="F298" s="98"/>
      <c r="G298" s="98"/>
      <c r="H298" s="99"/>
      <c r="I298" s="99"/>
      <c r="J298" s="99"/>
      <c r="K298" s="94"/>
    </row>
    <row r="299" spans="1:11" ht="15.75" x14ac:dyDescent="0.25">
      <c r="A299" s="93"/>
      <c r="B299" s="95"/>
      <c r="C299" s="96"/>
      <c r="D299" s="102"/>
      <c r="E299" s="96"/>
      <c r="F299" s="98"/>
      <c r="G299" s="98"/>
      <c r="H299" s="99"/>
      <c r="I299" s="99"/>
      <c r="J299" s="99"/>
      <c r="K299" s="94"/>
    </row>
    <row r="300" spans="1:11" ht="15.75" x14ac:dyDescent="0.25">
      <c r="A300" s="93"/>
      <c r="B300" s="95"/>
      <c r="C300" s="96"/>
      <c r="D300" s="102"/>
      <c r="E300" s="96"/>
      <c r="F300" s="98"/>
      <c r="G300" s="98"/>
      <c r="H300" s="99"/>
      <c r="I300" s="99"/>
      <c r="J300" s="99"/>
      <c r="K300" s="94"/>
    </row>
    <row r="301" spans="1:11" ht="15.75" x14ac:dyDescent="0.25">
      <c r="A301" s="93"/>
      <c r="B301" s="95"/>
      <c r="C301" s="96"/>
      <c r="D301" s="102"/>
      <c r="E301" s="96"/>
      <c r="F301" s="98"/>
      <c r="G301" s="98"/>
      <c r="H301" s="99"/>
      <c r="I301" s="99"/>
      <c r="J301" s="99"/>
      <c r="K301" s="94"/>
    </row>
    <row r="302" spans="1:11" ht="15.75" x14ac:dyDescent="0.25">
      <c r="A302" s="93"/>
      <c r="B302" s="95"/>
      <c r="C302" s="96"/>
      <c r="D302" s="102"/>
      <c r="E302" s="96"/>
      <c r="F302" s="98"/>
      <c r="G302" s="98"/>
      <c r="H302" s="99"/>
      <c r="I302" s="99"/>
      <c r="J302" s="99"/>
      <c r="K302" s="94"/>
    </row>
    <row r="303" spans="1:11" ht="15.75" x14ac:dyDescent="0.25">
      <c r="A303" s="93"/>
      <c r="B303" s="95"/>
      <c r="C303" s="96"/>
      <c r="D303" s="102"/>
      <c r="E303" s="96"/>
      <c r="F303" s="98"/>
      <c r="G303" s="98"/>
      <c r="H303" s="99"/>
      <c r="I303" s="99"/>
      <c r="J303" s="99"/>
      <c r="K303" s="94"/>
    </row>
    <row r="304" spans="1:11" ht="15.75" x14ac:dyDescent="0.25">
      <c r="A304" s="93"/>
      <c r="B304" s="95"/>
      <c r="C304" s="96"/>
      <c r="D304" s="102"/>
      <c r="E304" s="96"/>
      <c r="F304" s="98"/>
      <c r="G304" s="98"/>
      <c r="H304" s="99"/>
      <c r="I304" s="99"/>
      <c r="J304" s="99"/>
      <c r="K304" s="94"/>
    </row>
    <row r="305" spans="1:11" ht="15.75" x14ac:dyDescent="0.25">
      <c r="A305" s="93"/>
      <c r="B305" s="95"/>
      <c r="C305" s="96"/>
      <c r="D305" s="102"/>
      <c r="E305" s="96"/>
      <c r="F305" s="98"/>
      <c r="G305" s="98"/>
      <c r="H305" s="99"/>
      <c r="I305" s="99"/>
      <c r="J305" s="99"/>
      <c r="K305" s="94"/>
    </row>
    <row r="306" spans="1:11" ht="15.75" x14ac:dyDescent="0.25">
      <c r="A306" s="93"/>
      <c r="B306" s="95"/>
      <c r="C306" s="96"/>
      <c r="D306" s="102"/>
      <c r="E306" s="96"/>
      <c r="F306" s="98"/>
      <c r="G306" s="98"/>
      <c r="H306" s="99"/>
      <c r="I306" s="99"/>
      <c r="J306" s="99"/>
      <c r="K306" s="94"/>
    </row>
    <row r="307" spans="1:11" ht="15.75" x14ac:dyDescent="0.25">
      <c r="A307" s="93"/>
      <c r="B307" s="95"/>
      <c r="C307" s="96"/>
      <c r="D307" s="102"/>
      <c r="E307" s="96"/>
      <c r="F307" s="98"/>
      <c r="G307" s="98"/>
      <c r="H307" s="99"/>
      <c r="I307" s="99"/>
      <c r="J307" s="99"/>
      <c r="K307" s="94"/>
    </row>
    <row r="308" spans="1:11" ht="23.25" customHeight="1" x14ac:dyDescent="0.25">
      <c r="A308" s="93"/>
      <c r="B308" s="95"/>
      <c r="C308" s="96"/>
      <c r="D308" s="102"/>
      <c r="E308" s="96"/>
      <c r="F308" s="98"/>
      <c r="G308" s="98"/>
      <c r="H308" s="99"/>
      <c r="I308" s="99"/>
      <c r="J308" s="99"/>
      <c r="K308" s="94"/>
    </row>
    <row r="309" spans="1:11" ht="15.75" x14ac:dyDescent="0.25">
      <c r="A309" s="93"/>
      <c r="B309" s="95"/>
      <c r="C309" s="96"/>
      <c r="D309" s="102"/>
      <c r="E309" s="96"/>
      <c r="F309" s="98"/>
      <c r="G309" s="98"/>
      <c r="H309" s="99"/>
      <c r="I309" s="99"/>
      <c r="J309" s="99"/>
      <c r="K309" s="94"/>
    </row>
    <row r="310" spans="1:11" ht="15.75" x14ac:dyDescent="0.25">
      <c r="A310" s="93"/>
      <c r="B310" s="95"/>
      <c r="C310" s="96"/>
      <c r="D310" s="102"/>
      <c r="E310" s="96"/>
      <c r="F310" s="98"/>
      <c r="G310" s="98"/>
      <c r="H310" s="99"/>
      <c r="I310" s="99"/>
      <c r="J310" s="99"/>
      <c r="K310" s="94"/>
    </row>
    <row r="311" spans="1:11" ht="15.75" x14ac:dyDescent="0.25">
      <c r="A311" s="93"/>
      <c r="B311" s="95"/>
      <c r="C311" s="96"/>
      <c r="D311" s="102"/>
      <c r="E311" s="96"/>
      <c r="F311" s="98"/>
      <c r="G311" s="98"/>
      <c r="H311" s="99"/>
      <c r="I311" s="99"/>
      <c r="J311" s="99"/>
      <c r="K311" s="94"/>
    </row>
    <row r="312" spans="1:11" ht="15.75" x14ac:dyDescent="0.25">
      <c r="A312" s="93"/>
      <c r="B312" s="95"/>
      <c r="C312" s="96"/>
      <c r="D312" s="102"/>
      <c r="E312" s="96"/>
      <c r="F312" s="98"/>
      <c r="G312" s="98"/>
      <c r="H312" s="99"/>
      <c r="I312" s="99"/>
      <c r="J312" s="99"/>
      <c r="K312" s="94"/>
    </row>
    <row r="313" spans="1:11" ht="15.75" x14ac:dyDescent="0.25">
      <c r="A313" s="93"/>
      <c r="B313" s="95"/>
      <c r="C313" s="96"/>
      <c r="D313" s="102"/>
      <c r="E313" s="96"/>
      <c r="F313" s="98"/>
      <c r="G313" s="98"/>
      <c r="H313" s="99"/>
      <c r="I313" s="99"/>
      <c r="J313" s="99"/>
      <c r="K313" s="94"/>
    </row>
    <row r="314" spans="1:11" ht="23.25" customHeight="1" x14ac:dyDescent="0.25">
      <c r="A314" s="93"/>
      <c r="B314" s="95"/>
      <c r="C314" s="96"/>
      <c r="D314" s="102"/>
      <c r="E314" s="96"/>
      <c r="F314" s="98"/>
      <c r="G314" s="98"/>
      <c r="H314" s="99"/>
      <c r="I314" s="99"/>
      <c r="J314" s="99"/>
      <c r="K314" s="94"/>
    </row>
    <row r="315" spans="1:11" ht="15.75" x14ac:dyDescent="0.25">
      <c r="A315" s="93"/>
      <c r="B315" s="95"/>
      <c r="C315" s="96"/>
      <c r="D315" s="102"/>
      <c r="E315" s="96"/>
      <c r="F315" s="98"/>
      <c r="G315" s="98"/>
      <c r="H315" s="99"/>
      <c r="I315" s="99"/>
      <c r="J315" s="99"/>
      <c r="K315" s="94"/>
    </row>
    <row r="316" spans="1:11" ht="15.75" x14ac:dyDescent="0.25">
      <c r="A316" s="93"/>
      <c r="B316" s="95"/>
      <c r="C316" s="96"/>
      <c r="D316" s="102"/>
      <c r="E316" s="96"/>
      <c r="F316" s="98"/>
      <c r="G316" s="98"/>
      <c r="H316" s="99"/>
      <c r="I316" s="99"/>
      <c r="J316" s="99"/>
      <c r="K316" s="94"/>
    </row>
    <row r="317" spans="1:11" ht="15.75" x14ac:dyDescent="0.25">
      <c r="A317" s="93"/>
      <c r="B317" s="95"/>
      <c r="C317" s="96"/>
      <c r="D317" s="102"/>
      <c r="E317" s="96"/>
      <c r="F317" s="98"/>
      <c r="G317" s="98"/>
      <c r="H317" s="99"/>
      <c r="I317" s="99"/>
      <c r="J317" s="99"/>
      <c r="K317" s="94"/>
    </row>
    <row r="318" spans="1:11" ht="15.75" x14ac:dyDescent="0.25">
      <c r="A318" s="93"/>
      <c r="B318" s="95"/>
      <c r="C318" s="96"/>
      <c r="D318" s="102"/>
      <c r="E318" s="96"/>
      <c r="F318" s="98"/>
      <c r="G318" s="98"/>
      <c r="H318" s="99"/>
      <c r="I318" s="99"/>
      <c r="J318" s="99"/>
      <c r="K318" s="94"/>
    </row>
    <row r="319" spans="1:11" ht="15.75" x14ac:dyDescent="0.25">
      <c r="A319" s="93"/>
      <c r="B319" s="95"/>
      <c r="C319" s="96"/>
      <c r="D319" s="102"/>
      <c r="E319" s="96"/>
      <c r="F319" s="98"/>
      <c r="G319" s="98"/>
      <c r="H319" s="99"/>
      <c r="I319" s="99"/>
      <c r="J319" s="99"/>
      <c r="K319" s="94"/>
    </row>
    <row r="320" spans="1:11" ht="23.25" customHeight="1" x14ac:dyDescent="0.25">
      <c r="A320" s="93"/>
      <c r="B320" s="95"/>
      <c r="C320" s="96"/>
      <c r="D320" s="102"/>
      <c r="E320" s="96"/>
      <c r="F320" s="98"/>
      <c r="G320" s="98"/>
      <c r="H320" s="99"/>
      <c r="I320" s="99"/>
      <c r="J320" s="99"/>
      <c r="K320" s="94"/>
    </row>
    <row r="321" spans="1:11" ht="23.25" customHeight="1" x14ac:dyDescent="0.25">
      <c r="A321" s="93"/>
      <c r="B321" s="95"/>
      <c r="C321" s="96"/>
      <c r="D321" s="102"/>
      <c r="E321" s="96"/>
      <c r="F321" s="98"/>
      <c r="G321" s="98"/>
      <c r="H321" s="99"/>
      <c r="I321" s="99"/>
      <c r="J321" s="99"/>
      <c r="K321" s="94"/>
    </row>
    <row r="322" spans="1:11" ht="23.25" customHeight="1" x14ac:dyDescent="0.25">
      <c r="A322" s="93"/>
      <c r="B322" s="95"/>
      <c r="C322" s="96"/>
      <c r="D322" s="102"/>
      <c r="E322" s="96"/>
      <c r="F322" s="98"/>
      <c r="G322" s="98"/>
      <c r="H322" s="99"/>
      <c r="I322" s="99"/>
      <c r="J322" s="99"/>
      <c r="K322" s="94"/>
    </row>
    <row r="323" spans="1:11" ht="23.25" customHeight="1" x14ac:dyDescent="0.25">
      <c r="A323" s="93"/>
      <c r="B323" s="95"/>
      <c r="C323" s="96"/>
      <c r="D323" s="102"/>
      <c r="E323" s="96"/>
      <c r="F323" s="98"/>
      <c r="G323" s="98"/>
      <c r="H323" s="99"/>
      <c r="I323" s="99"/>
      <c r="J323" s="99"/>
      <c r="K323" s="94"/>
    </row>
    <row r="324" spans="1:11" ht="23.25" customHeight="1" x14ac:dyDescent="0.25">
      <c r="A324" s="93"/>
      <c r="B324" s="95"/>
      <c r="C324" s="96"/>
      <c r="D324" s="102"/>
      <c r="E324" s="96"/>
      <c r="F324" s="98"/>
      <c r="G324" s="98"/>
      <c r="H324" s="99"/>
      <c r="I324" s="99"/>
      <c r="J324" s="99"/>
      <c r="K324" s="94"/>
    </row>
    <row r="325" spans="1:11" ht="23.25" customHeight="1" x14ac:dyDescent="0.25">
      <c r="A325" s="93"/>
      <c r="B325" s="95"/>
      <c r="C325" s="96"/>
      <c r="D325" s="102"/>
      <c r="E325" s="96"/>
      <c r="F325" s="98"/>
      <c r="G325" s="98"/>
      <c r="H325" s="99"/>
      <c r="I325" s="99"/>
      <c r="J325" s="99"/>
      <c r="K325" s="94"/>
    </row>
    <row r="326" spans="1:11" ht="23.25" customHeight="1" x14ac:dyDescent="0.25">
      <c r="A326" s="93"/>
      <c r="B326" s="95"/>
      <c r="C326" s="96"/>
      <c r="D326" s="102"/>
      <c r="E326" s="96"/>
      <c r="F326" s="98"/>
      <c r="G326" s="98"/>
      <c r="H326" s="99"/>
      <c r="I326" s="99"/>
      <c r="J326" s="99"/>
      <c r="K326" s="94"/>
    </row>
    <row r="327" spans="1:11" ht="15.75" x14ac:dyDescent="0.25">
      <c r="A327" s="93"/>
      <c r="B327" s="95"/>
      <c r="C327" s="96"/>
      <c r="D327" s="102"/>
      <c r="E327" s="96"/>
      <c r="F327" s="98"/>
      <c r="G327" s="98"/>
      <c r="H327" s="99"/>
      <c r="I327" s="99"/>
      <c r="J327" s="99"/>
      <c r="K327" s="94"/>
    </row>
    <row r="328" spans="1:11" ht="15.75" x14ac:dyDescent="0.25">
      <c r="A328" s="93"/>
      <c r="B328" s="95"/>
      <c r="C328" s="96"/>
      <c r="D328" s="102"/>
      <c r="E328" s="96"/>
      <c r="F328" s="98"/>
      <c r="G328" s="98"/>
      <c r="H328" s="99"/>
      <c r="I328" s="99"/>
      <c r="J328" s="99"/>
      <c r="K328" s="94"/>
    </row>
    <row r="329" spans="1:11" ht="15.75" x14ac:dyDescent="0.25">
      <c r="A329" s="93"/>
      <c r="B329" s="95"/>
      <c r="C329" s="96"/>
      <c r="D329" s="102"/>
      <c r="E329" s="96"/>
      <c r="F329" s="98"/>
      <c r="G329" s="98"/>
      <c r="H329" s="99"/>
      <c r="I329" s="99"/>
      <c r="J329" s="99"/>
      <c r="K329" s="94"/>
    </row>
    <row r="330" spans="1:11" ht="15.75" x14ac:dyDescent="0.25">
      <c r="A330" s="93"/>
      <c r="B330" s="95"/>
      <c r="C330" s="96"/>
      <c r="D330" s="102"/>
      <c r="E330" s="96"/>
      <c r="F330" s="98"/>
      <c r="G330" s="98"/>
      <c r="H330" s="99"/>
      <c r="I330" s="99"/>
      <c r="J330" s="99"/>
      <c r="K330" s="94"/>
    </row>
    <row r="331" spans="1:11" ht="15.75" x14ac:dyDescent="0.25">
      <c r="A331" s="93"/>
      <c r="B331" s="95"/>
      <c r="C331" s="96"/>
      <c r="D331" s="102"/>
      <c r="E331" s="96"/>
      <c r="F331" s="98"/>
      <c r="G331" s="98"/>
      <c r="H331" s="99"/>
      <c r="I331" s="99"/>
      <c r="J331" s="99"/>
      <c r="K331" s="94"/>
    </row>
    <row r="332" spans="1:11" ht="15.75" x14ac:dyDescent="0.25">
      <c r="A332" s="93"/>
      <c r="B332" s="95"/>
      <c r="C332" s="96"/>
      <c r="D332" s="102"/>
      <c r="E332" s="96"/>
      <c r="F332" s="98"/>
      <c r="G332" s="98"/>
      <c r="H332" s="99"/>
      <c r="I332" s="99"/>
      <c r="J332" s="99"/>
      <c r="K332" s="94"/>
    </row>
    <row r="333" spans="1:11" ht="15.75" x14ac:dyDescent="0.25">
      <c r="A333" s="93"/>
      <c r="B333" s="95"/>
      <c r="C333" s="96"/>
      <c r="D333" s="102"/>
      <c r="E333" s="96"/>
      <c r="F333" s="98"/>
      <c r="G333" s="98"/>
      <c r="H333" s="99"/>
      <c r="I333" s="99"/>
      <c r="J333" s="99"/>
      <c r="K333" s="94"/>
    </row>
    <row r="334" spans="1:11" ht="15.75" x14ac:dyDescent="0.25">
      <c r="A334" s="93"/>
      <c r="B334" s="95"/>
      <c r="C334" s="96"/>
      <c r="D334" s="102"/>
      <c r="E334" s="96"/>
      <c r="F334" s="98"/>
      <c r="G334" s="98"/>
      <c r="H334" s="99"/>
      <c r="I334" s="99"/>
      <c r="J334" s="99"/>
      <c r="K334" s="94"/>
    </row>
    <row r="335" spans="1:11" ht="15.75" x14ac:dyDescent="0.25">
      <c r="A335" s="93"/>
      <c r="B335" s="95"/>
      <c r="C335" s="96"/>
      <c r="D335" s="102"/>
      <c r="E335" s="96"/>
      <c r="F335" s="98"/>
      <c r="G335" s="98"/>
      <c r="H335" s="99"/>
      <c r="I335" s="99"/>
      <c r="J335" s="99"/>
      <c r="K335" s="94"/>
    </row>
    <row r="336" spans="1:11" ht="15.75" x14ac:dyDescent="0.25">
      <c r="A336" s="93"/>
      <c r="B336" s="95"/>
      <c r="C336" s="96"/>
      <c r="D336" s="102"/>
      <c r="E336" s="96"/>
      <c r="F336" s="98"/>
      <c r="G336" s="98"/>
      <c r="H336" s="99"/>
      <c r="I336" s="99"/>
      <c r="J336" s="99"/>
      <c r="K336" s="94"/>
    </row>
    <row r="337" spans="1:11" ht="15.75" x14ac:dyDescent="0.25">
      <c r="A337" s="93"/>
      <c r="B337" s="95"/>
      <c r="C337" s="96"/>
      <c r="D337" s="102"/>
      <c r="E337" s="96"/>
      <c r="F337" s="98"/>
      <c r="G337" s="98"/>
      <c r="H337" s="99"/>
      <c r="I337" s="99"/>
      <c r="J337" s="99"/>
      <c r="K337" s="94"/>
    </row>
    <row r="338" spans="1:11" ht="15.75" x14ac:dyDescent="0.25">
      <c r="A338" s="93"/>
      <c r="B338" s="95"/>
      <c r="C338" s="96"/>
      <c r="D338" s="102"/>
      <c r="E338" s="96"/>
      <c r="F338" s="98"/>
      <c r="G338" s="98"/>
      <c r="H338" s="99"/>
      <c r="I338" s="99"/>
      <c r="J338" s="99"/>
      <c r="K338" s="94"/>
    </row>
    <row r="339" spans="1:11" ht="15.75" x14ac:dyDescent="0.25">
      <c r="A339" s="93"/>
      <c r="B339" s="95"/>
      <c r="C339" s="96"/>
      <c r="D339" s="102"/>
      <c r="E339" s="96"/>
      <c r="F339" s="98"/>
      <c r="G339" s="98"/>
      <c r="H339" s="99"/>
      <c r="I339" s="99"/>
      <c r="J339" s="99"/>
      <c r="K339" s="94"/>
    </row>
    <row r="340" spans="1:11" ht="15.75" x14ac:dyDescent="0.25">
      <c r="A340" s="93"/>
      <c r="B340" s="95"/>
      <c r="C340" s="96"/>
      <c r="D340" s="102"/>
      <c r="E340" s="96"/>
      <c r="F340" s="98"/>
      <c r="G340" s="98"/>
      <c r="H340" s="99"/>
      <c r="I340" s="99"/>
      <c r="J340" s="99"/>
      <c r="K340" s="94"/>
    </row>
    <row r="341" spans="1:11" ht="15.75" x14ac:dyDescent="0.25">
      <c r="A341" s="93"/>
      <c r="B341" s="95"/>
      <c r="C341" s="96"/>
      <c r="D341" s="102"/>
      <c r="E341" s="96"/>
      <c r="F341" s="98"/>
      <c r="G341" s="98"/>
      <c r="H341" s="99"/>
      <c r="I341" s="99"/>
      <c r="J341" s="99"/>
      <c r="K341" s="94"/>
    </row>
    <row r="342" spans="1:11" ht="15.75" x14ac:dyDescent="0.25">
      <c r="A342" s="93"/>
      <c r="B342" s="95"/>
      <c r="C342" s="96"/>
      <c r="D342" s="102"/>
      <c r="E342" s="96"/>
      <c r="F342" s="98"/>
      <c r="G342" s="98"/>
      <c r="H342" s="99"/>
      <c r="I342" s="99"/>
      <c r="J342" s="99"/>
      <c r="K342" s="94"/>
    </row>
    <row r="343" spans="1:11" ht="15.75" x14ac:dyDescent="0.25">
      <c r="A343" s="93"/>
      <c r="B343" s="95"/>
      <c r="C343" s="96"/>
      <c r="D343" s="102"/>
      <c r="E343" s="96"/>
      <c r="F343" s="98"/>
      <c r="G343" s="98"/>
      <c r="H343" s="99"/>
      <c r="I343" s="99"/>
      <c r="J343" s="99"/>
      <c r="K343" s="94"/>
    </row>
    <row r="344" spans="1:11" ht="15.75" x14ac:dyDescent="0.25">
      <c r="A344" s="93"/>
      <c r="B344" s="95"/>
      <c r="C344" s="96"/>
      <c r="D344" s="102"/>
      <c r="E344" s="96"/>
      <c r="F344" s="98"/>
      <c r="G344" s="98"/>
      <c r="H344" s="99"/>
      <c r="I344" s="99"/>
      <c r="J344" s="99"/>
      <c r="K344" s="94"/>
    </row>
    <row r="345" spans="1:11" ht="15.75" x14ac:dyDescent="0.25">
      <c r="A345" s="93"/>
      <c r="B345" s="95"/>
      <c r="C345" s="96"/>
      <c r="D345" s="102"/>
      <c r="E345" s="96"/>
      <c r="F345" s="98"/>
      <c r="G345" s="98"/>
      <c r="H345" s="99"/>
      <c r="I345" s="99"/>
      <c r="J345" s="99"/>
      <c r="K345" s="94"/>
    </row>
    <row r="346" spans="1:11" ht="15.75" x14ac:dyDescent="0.25">
      <c r="A346" s="93"/>
      <c r="B346" s="95"/>
      <c r="C346" s="96"/>
      <c r="D346" s="102"/>
      <c r="E346" s="96"/>
      <c r="F346" s="98"/>
      <c r="G346" s="98"/>
      <c r="H346" s="99"/>
      <c r="I346" s="99"/>
      <c r="J346" s="99"/>
      <c r="K346" s="94"/>
    </row>
    <row r="347" spans="1:11" ht="15.75" x14ac:dyDescent="0.25">
      <c r="A347" s="93"/>
      <c r="B347" s="95"/>
      <c r="C347" s="96"/>
      <c r="D347" s="102"/>
      <c r="E347" s="96"/>
      <c r="F347" s="98"/>
      <c r="G347" s="98"/>
      <c r="H347" s="99"/>
      <c r="I347" s="99"/>
      <c r="J347" s="99"/>
      <c r="K347" s="94"/>
    </row>
    <row r="348" spans="1:11" ht="15.75" x14ac:dyDescent="0.25">
      <c r="A348" s="93"/>
      <c r="B348" s="95"/>
      <c r="C348" s="96"/>
      <c r="D348" s="102"/>
      <c r="E348" s="96"/>
      <c r="F348" s="98"/>
      <c r="G348" s="98"/>
      <c r="H348" s="99"/>
      <c r="I348" s="99"/>
      <c r="J348" s="99"/>
      <c r="K348" s="94"/>
    </row>
    <row r="349" spans="1:11" ht="15.75" x14ac:dyDescent="0.25">
      <c r="A349" s="93"/>
      <c r="B349" s="95"/>
      <c r="C349" s="96"/>
      <c r="D349" s="102"/>
      <c r="E349" s="96"/>
      <c r="F349" s="98"/>
      <c r="G349" s="98"/>
      <c r="H349" s="99"/>
      <c r="I349" s="99"/>
      <c r="J349" s="99"/>
      <c r="K349" s="94"/>
    </row>
    <row r="350" spans="1:11" ht="15.75" x14ac:dyDescent="0.25">
      <c r="A350" s="93"/>
      <c r="B350" s="95"/>
      <c r="C350" s="96"/>
      <c r="D350" s="102"/>
      <c r="E350" s="96"/>
      <c r="F350" s="98"/>
      <c r="G350" s="98"/>
      <c r="H350" s="99"/>
      <c r="I350" s="99"/>
      <c r="J350" s="99"/>
      <c r="K350" s="94"/>
    </row>
    <row r="351" spans="1:11" ht="15.75" x14ac:dyDescent="0.25">
      <c r="A351" s="93"/>
      <c r="B351" s="95"/>
      <c r="C351" s="96"/>
      <c r="D351" s="102"/>
      <c r="E351" s="96"/>
      <c r="F351" s="98"/>
      <c r="G351" s="98"/>
      <c r="H351" s="99"/>
      <c r="I351" s="99"/>
      <c r="J351" s="99"/>
      <c r="K351" s="94"/>
    </row>
    <row r="352" spans="1:11" ht="15.75" x14ac:dyDescent="0.25">
      <c r="A352" s="93"/>
      <c r="B352" s="95"/>
      <c r="C352" s="96"/>
      <c r="D352" s="102"/>
      <c r="E352" s="96"/>
      <c r="F352" s="98"/>
      <c r="G352" s="98"/>
      <c r="H352" s="99"/>
      <c r="I352" s="99"/>
      <c r="J352" s="99"/>
      <c r="K352" s="94"/>
    </row>
    <row r="353" spans="1:11" ht="15.75" x14ac:dyDescent="0.25">
      <c r="A353" s="93"/>
      <c r="B353" s="95"/>
      <c r="C353" s="96"/>
      <c r="D353" s="102"/>
      <c r="E353" s="96"/>
      <c r="F353" s="98"/>
      <c r="G353" s="98"/>
      <c r="H353" s="99"/>
      <c r="I353" s="99"/>
      <c r="J353" s="99"/>
      <c r="K353" s="94"/>
    </row>
    <row r="354" spans="1:11" ht="15.75" x14ac:dyDescent="0.25">
      <c r="A354" s="93"/>
      <c r="B354" s="95"/>
      <c r="C354" s="96"/>
      <c r="D354" s="102"/>
      <c r="E354" s="96"/>
      <c r="F354" s="98"/>
      <c r="G354" s="98"/>
      <c r="H354" s="99"/>
      <c r="I354" s="99"/>
      <c r="J354" s="99"/>
      <c r="K354" s="94"/>
    </row>
    <row r="355" spans="1:11" ht="15.75" x14ac:dyDescent="0.25">
      <c r="A355" s="93"/>
      <c r="B355" s="95"/>
      <c r="C355" s="96"/>
      <c r="D355" s="102"/>
      <c r="E355" s="96"/>
      <c r="F355" s="98"/>
      <c r="G355" s="98"/>
      <c r="H355" s="99"/>
      <c r="I355" s="99"/>
      <c r="J355" s="99"/>
      <c r="K355" s="94"/>
    </row>
    <row r="356" spans="1:11" ht="39.75" customHeight="1" x14ac:dyDescent="0.25">
      <c r="A356" s="93"/>
      <c r="B356" s="95"/>
      <c r="C356" s="96"/>
      <c r="D356" s="102"/>
      <c r="E356" s="96"/>
      <c r="F356" s="98"/>
      <c r="G356" s="98"/>
      <c r="H356" s="99"/>
      <c r="I356" s="99"/>
      <c r="J356" s="99"/>
      <c r="K356" s="94"/>
    </row>
    <row r="357" spans="1:11" ht="15.75" x14ac:dyDescent="0.25">
      <c r="A357" s="93"/>
      <c r="B357" s="95"/>
      <c r="C357" s="96"/>
      <c r="D357" s="102"/>
      <c r="E357" s="96"/>
      <c r="F357" s="98"/>
      <c r="G357" s="98"/>
      <c r="H357" s="99"/>
      <c r="I357" s="99"/>
      <c r="J357" s="99"/>
      <c r="K357" s="94"/>
    </row>
    <row r="358" spans="1:11" ht="15.75" x14ac:dyDescent="0.25">
      <c r="A358" s="93"/>
      <c r="B358" s="95"/>
      <c r="C358" s="96"/>
      <c r="D358" s="102"/>
      <c r="E358" s="96"/>
      <c r="F358" s="98"/>
      <c r="G358" s="98"/>
      <c r="H358" s="99"/>
      <c r="I358" s="99"/>
      <c r="J358" s="99"/>
      <c r="K358" s="94"/>
    </row>
    <row r="359" spans="1:11" ht="15.75" x14ac:dyDescent="0.25">
      <c r="A359" s="93"/>
      <c r="B359" s="95"/>
      <c r="C359" s="96"/>
      <c r="D359" s="102"/>
      <c r="E359" s="96"/>
      <c r="F359" s="98"/>
      <c r="G359" s="98"/>
      <c r="H359" s="99"/>
      <c r="I359" s="99"/>
      <c r="J359" s="99"/>
      <c r="K359" s="94"/>
    </row>
    <row r="360" spans="1:11" ht="15.75" x14ac:dyDescent="0.25">
      <c r="A360" s="93"/>
      <c r="B360" s="95"/>
      <c r="C360" s="96"/>
      <c r="D360" s="102"/>
      <c r="E360" s="96"/>
      <c r="F360" s="98"/>
      <c r="G360" s="98"/>
      <c r="H360" s="99"/>
      <c r="I360" s="99"/>
      <c r="J360" s="99"/>
      <c r="K360" s="94"/>
    </row>
    <row r="361" spans="1:11" ht="15.75" x14ac:dyDescent="0.25">
      <c r="A361" s="93"/>
      <c r="B361" s="95"/>
      <c r="C361" s="96"/>
      <c r="D361" s="102"/>
      <c r="E361" s="96"/>
      <c r="F361" s="98"/>
      <c r="G361" s="98"/>
      <c r="H361" s="99"/>
      <c r="I361" s="99"/>
      <c r="J361" s="99"/>
      <c r="K361" s="94"/>
    </row>
    <row r="362" spans="1:11" ht="15.75" x14ac:dyDescent="0.25">
      <c r="A362" s="93"/>
      <c r="B362" s="95"/>
      <c r="C362" s="96"/>
      <c r="D362" s="102"/>
      <c r="E362" s="96"/>
      <c r="F362" s="98"/>
      <c r="G362" s="98"/>
      <c r="H362" s="99"/>
      <c r="I362" s="99"/>
      <c r="J362" s="99"/>
      <c r="K362" s="94"/>
    </row>
    <row r="363" spans="1:11" ht="15.75" x14ac:dyDescent="0.25">
      <c r="A363" s="93"/>
      <c r="B363" s="95"/>
      <c r="C363" s="96"/>
      <c r="D363" s="102"/>
      <c r="E363" s="96"/>
      <c r="F363" s="98"/>
      <c r="G363" s="98"/>
      <c r="H363" s="99"/>
      <c r="I363" s="99"/>
      <c r="J363" s="99"/>
      <c r="K363" s="94"/>
    </row>
    <row r="364" spans="1:11" ht="15.75" x14ac:dyDescent="0.25">
      <c r="A364" s="93"/>
      <c r="B364" s="95"/>
      <c r="C364" s="96"/>
      <c r="D364" s="102"/>
      <c r="E364" s="96"/>
      <c r="F364" s="98"/>
      <c r="G364" s="98"/>
      <c r="H364" s="99"/>
      <c r="I364" s="99"/>
      <c r="J364" s="99"/>
      <c r="K364" s="94"/>
    </row>
    <row r="365" spans="1:11" ht="15.75" x14ac:dyDescent="0.25">
      <c r="A365" s="93"/>
      <c r="B365" s="95"/>
      <c r="C365" s="96"/>
      <c r="D365" s="102"/>
      <c r="E365" s="96"/>
      <c r="F365" s="98"/>
      <c r="G365" s="98"/>
      <c r="H365" s="99"/>
      <c r="I365" s="99"/>
      <c r="J365" s="99"/>
      <c r="K365" s="94"/>
    </row>
    <row r="366" spans="1:11" ht="15.75" x14ac:dyDescent="0.25">
      <c r="A366" s="93"/>
      <c r="B366" s="95"/>
      <c r="C366" s="96"/>
      <c r="D366" s="102"/>
      <c r="E366" s="96"/>
      <c r="F366" s="98"/>
      <c r="G366" s="98"/>
      <c r="H366" s="99"/>
      <c r="I366" s="99"/>
      <c r="J366" s="99"/>
      <c r="K366" s="94"/>
    </row>
    <row r="367" spans="1:11" ht="15.75" x14ac:dyDescent="0.25">
      <c r="A367" s="93"/>
      <c r="B367" s="95"/>
      <c r="C367" s="96"/>
      <c r="D367" s="102"/>
      <c r="E367" s="96"/>
      <c r="F367" s="98"/>
      <c r="G367" s="98"/>
      <c r="H367" s="99"/>
      <c r="I367" s="99"/>
      <c r="J367" s="99"/>
      <c r="K367" s="94"/>
    </row>
    <row r="368" spans="1:11" ht="15.75" x14ac:dyDescent="0.25">
      <c r="A368" s="93"/>
      <c r="B368" s="95"/>
      <c r="C368" s="96"/>
      <c r="D368" s="102"/>
      <c r="E368" s="96"/>
      <c r="F368" s="98"/>
      <c r="G368" s="98"/>
      <c r="H368" s="99"/>
      <c r="I368" s="99"/>
      <c r="J368" s="99"/>
      <c r="K368" s="94"/>
    </row>
    <row r="369" spans="1:11" ht="15.75" x14ac:dyDescent="0.25">
      <c r="A369" s="93"/>
      <c r="B369" s="95"/>
      <c r="C369" s="96"/>
      <c r="D369" s="102"/>
      <c r="E369" s="96"/>
      <c r="F369" s="98"/>
      <c r="G369" s="98"/>
      <c r="H369" s="99"/>
      <c r="I369" s="99"/>
      <c r="J369" s="99"/>
      <c r="K369" s="94"/>
    </row>
    <row r="370" spans="1:11" ht="15.75" x14ac:dyDescent="0.25">
      <c r="A370" s="93"/>
      <c r="B370" s="95"/>
      <c r="C370" s="96"/>
      <c r="D370" s="102"/>
      <c r="E370" s="96"/>
      <c r="F370" s="98"/>
      <c r="G370" s="98"/>
      <c r="H370" s="99"/>
      <c r="I370" s="99"/>
      <c r="J370" s="99"/>
      <c r="K370" s="94"/>
    </row>
    <row r="371" spans="1:11" ht="15.75" x14ac:dyDescent="0.25">
      <c r="A371" s="93"/>
      <c r="B371" s="95"/>
      <c r="C371" s="96"/>
      <c r="D371" s="102"/>
      <c r="E371" s="96"/>
      <c r="F371" s="98"/>
      <c r="G371" s="98"/>
      <c r="H371" s="99"/>
      <c r="I371" s="99"/>
      <c r="J371" s="99"/>
      <c r="K371" s="94"/>
    </row>
    <row r="372" spans="1:11" ht="15.75" x14ac:dyDescent="0.25">
      <c r="A372" s="93"/>
      <c r="B372" s="95"/>
      <c r="C372" s="96"/>
      <c r="D372" s="102"/>
      <c r="E372" s="96"/>
      <c r="F372" s="98"/>
      <c r="G372" s="98"/>
      <c r="H372" s="99"/>
      <c r="I372" s="99"/>
      <c r="J372" s="99"/>
      <c r="K372" s="94"/>
    </row>
    <row r="373" spans="1:11" ht="15.75" x14ac:dyDescent="0.25">
      <c r="A373" s="93"/>
      <c r="B373" s="95"/>
      <c r="C373" s="96"/>
      <c r="D373" s="102"/>
      <c r="E373" s="96"/>
      <c r="F373" s="98"/>
      <c r="G373" s="98"/>
      <c r="H373" s="99"/>
      <c r="I373" s="99"/>
      <c r="J373" s="99"/>
      <c r="K373" s="94"/>
    </row>
    <row r="374" spans="1:11" ht="15.75" x14ac:dyDescent="0.25">
      <c r="A374" s="93"/>
      <c r="B374" s="95"/>
      <c r="C374" s="96"/>
      <c r="D374" s="102"/>
      <c r="E374" s="96"/>
      <c r="F374" s="98"/>
      <c r="G374" s="98"/>
      <c r="H374" s="99"/>
      <c r="I374" s="99"/>
      <c r="J374" s="99"/>
      <c r="K374" s="94"/>
    </row>
    <row r="375" spans="1:11" ht="15.75" x14ac:dyDescent="0.25">
      <c r="A375" s="93"/>
      <c r="B375" s="95"/>
      <c r="C375" s="96"/>
      <c r="D375" s="102"/>
      <c r="E375" s="96"/>
      <c r="F375" s="98"/>
      <c r="G375" s="98"/>
      <c r="H375" s="99"/>
      <c r="I375" s="99"/>
      <c r="J375" s="99"/>
      <c r="K375" s="94"/>
    </row>
    <row r="376" spans="1:11" ht="15.75" x14ac:dyDescent="0.25">
      <c r="A376" s="93"/>
      <c r="B376" s="95"/>
      <c r="C376" s="96"/>
      <c r="D376" s="102"/>
      <c r="E376" s="96"/>
      <c r="F376" s="98"/>
      <c r="G376" s="98"/>
      <c r="H376" s="99"/>
      <c r="I376" s="99"/>
      <c r="J376" s="99"/>
      <c r="K376" s="94"/>
    </row>
    <row r="377" spans="1:11" ht="15.75" x14ac:dyDescent="0.25">
      <c r="A377" s="93"/>
      <c r="B377" s="95"/>
      <c r="C377" s="96"/>
      <c r="D377" s="102"/>
      <c r="E377" s="96"/>
      <c r="F377" s="98"/>
      <c r="G377" s="98"/>
      <c r="H377" s="99"/>
      <c r="I377" s="99"/>
      <c r="J377" s="99"/>
      <c r="K377" s="94"/>
    </row>
    <row r="378" spans="1:11" ht="15.75" x14ac:dyDescent="0.25">
      <c r="A378" s="93"/>
      <c r="B378" s="95"/>
      <c r="C378" s="96"/>
      <c r="D378" s="102"/>
      <c r="E378" s="96"/>
      <c r="F378" s="98"/>
      <c r="G378" s="98"/>
      <c r="H378" s="99"/>
      <c r="I378" s="99"/>
      <c r="J378" s="99"/>
      <c r="K378" s="94"/>
    </row>
    <row r="379" spans="1:11" ht="15.75" x14ac:dyDescent="0.25">
      <c r="A379" s="93"/>
      <c r="B379" s="95"/>
      <c r="C379" s="96"/>
      <c r="D379" s="102"/>
      <c r="E379" s="96"/>
      <c r="F379" s="98"/>
      <c r="G379" s="98"/>
      <c r="H379" s="99"/>
      <c r="I379" s="99"/>
      <c r="J379" s="99"/>
      <c r="K379" s="94"/>
    </row>
    <row r="380" spans="1:11" ht="15.75" x14ac:dyDescent="0.25">
      <c r="A380" s="93"/>
      <c r="B380" s="95"/>
      <c r="C380" s="96"/>
      <c r="D380" s="102"/>
      <c r="E380" s="96"/>
      <c r="F380" s="98"/>
      <c r="G380" s="98"/>
      <c r="H380" s="99"/>
      <c r="I380" s="99"/>
      <c r="J380" s="99"/>
      <c r="K380" s="94"/>
    </row>
    <row r="381" spans="1:11" ht="15.75" x14ac:dyDescent="0.25">
      <c r="A381" s="93"/>
      <c r="B381" s="95"/>
      <c r="C381" s="96"/>
      <c r="D381" s="102"/>
      <c r="E381" s="96"/>
      <c r="F381" s="98"/>
      <c r="G381" s="98"/>
      <c r="H381" s="99"/>
      <c r="I381" s="99"/>
      <c r="J381" s="99"/>
      <c r="K381" s="94"/>
    </row>
    <row r="382" spans="1:11" ht="15.75" x14ac:dyDescent="0.25">
      <c r="A382" s="93"/>
      <c r="B382" s="95"/>
      <c r="C382" s="96"/>
      <c r="D382" s="102"/>
      <c r="E382" s="96"/>
      <c r="F382" s="98"/>
      <c r="G382" s="98"/>
      <c r="H382" s="99"/>
      <c r="I382" s="99"/>
      <c r="J382" s="99"/>
      <c r="K382" s="94"/>
    </row>
    <row r="383" spans="1:11" ht="15.75" x14ac:dyDescent="0.25">
      <c r="A383" s="93"/>
      <c r="B383" s="95"/>
      <c r="C383" s="96"/>
      <c r="D383" s="102"/>
      <c r="E383" s="96"/>
      <c r="F383" s="98"/>
      <c r="G383" s="98"/>
      <c r="H383" s="99"/>
      <c r="I383" s="99"/>
      <c r="J383" s="99"/>
      <c r="K383" s="94"/>
    </row>
    <row r="384" spans="1:11" ht="15.75" x14ac:dyDescent="0.25">
      <c r="A384" s="93"/>
      <c r="B384" s="95"/>
      <c r="C384" s="96"/>
      <c r="D384" s="102"/>
      <c r="E384" s="96"/>
      <c r="F384" s="98"/>
      <c r="G384" s="98"/>
      <c r="H384" s="99"/>
      <c r="I384" s="99"/>
      <c r="J384" s="99"/>
      <c r="K384" s="94"/>
    </row>
    <row r="385" spans="1:11" ht="15.75" x14ac:dyDescent="0.25">
      <c r="A385" s="93"/>
      <c r="B385" s="95"/>
      <c r="C385" s="96"/>
      <c r="D385" s="102"/>
      <c r="E385" s="96"/>
      <c r="F385" s="98"/>
      <c r="G385" s="98"/>
      <c r="H385" s="99"/>
      <c r="I385" s="99"/>
      <c r="J385" s="99"/>
      <c r="K385" s="94"/>
    </row>
    <row r="386" spans="1:11" ht="15.75" x14ac:dyDescent="0.25">
      <c r="A386" s="93"/>
      <c r="B386" s="95"/>
      <c r="C386" s="96"/>
      <c r="D386" s="102"/>
      <c r="E386" s="96"/>
      <c r="F386" s="98"/>
      <c r="G386" s="98"/>
      <c r="H386" s="99"/>
      <c r="I386" s="99"/>
      <c r="J386" s="99"/>
      <c r="K386" s="94"/>
    </row>
    <row r="387" spans="1:11" ht="15.75" x14ac:dyDescent="0.25">
      <c r="A387" s="93"/>
      <c r="B387" s="95"/>
      <c r="C387" s="96"/>
      <c r="D387" s="102"/>
      <c r="E387" s="96"/>
      <c r="F387" s="98"/>
      <c r="G387" s="98"/>
      <c r="H387" s="99"/>
      <c r="I387" s="99"/>
      <c r="J387" s="99"/>
      <c r="K387" s="94"/>
    </row>
    <row r="388" spans="1:11" ht="15.75" x14ac:dyDescent="0.25">
      <c r="A388" s="93"/>
      <c r="B388" s="95"/>
      <c r="C388" s="96"/>
      <c r="D388" s="102"/>
      <c r="E388" s="96"/>
      <c r="F388" s="98"/>
      <c r="G388" s="98"/>
      <c r="H388" s="99"/>
      <c r="I388" s="99"/>
      <c r="J388" s="99"/>
      <c r="K388" s="94"/>
    </row>
    <row r="389" spans="1:11" ht="15.75" x14ac:dyDescent="0.25">
      <c r="A389" s="93"/>
      <c r="B389" s="95"/>
      <c r="C389" s="96"/>
      <c r="D389" s="102"/>
      <c r="E389" s="96"/>
      <c r="F389" s="98"/>
      <c r="G389" s="98"/>
      <c r="H389" s="99"/>
      <c r="I389" s="99"/>
      <c r="J389" s="99"/>
      <c r="K389" s="94"/>
    </row>
    <row r="390" spans="1:11" ht="15.75" x14ac:dyDescent="0.25">
      <c r="A390" s="93"/>
      <c r="B390" s="95"/>
      <c r="C390" s="96"/>
      <c r="D390" s="102"/>
      <c r="E390" s="96"/>
      <c r="F390" s="98"/>
      <c r="G390" s="98"/>
      <c r="H390" s="99"/>
      <c r="I390" s="99"/>
      <c r="J390" s="103"/>
      <c r="K390" s="94"/>
    </row>
    <row r="391" spans="1:11" ht="15.75" x14ac:dyDescent="0.25">
      <c r="A391" s="93"/>
      <c r="B391" s="95"/>
      <c r="C391" s="96"/>
      <c r="D391" s="102"/>
      <c r="E391" s="96"/>
      <c r="F391" s="98"/>
      <c r="G391" s="98"/>
      <c r="H391" s="99"/>
      <c r="I391" s="99"/>
      <c r="J391" s="103"/>
      <c r="K391" s="94"/>
    </row>
    <row r="392" spans="1:11" ht="15.75" x14ac:dyDescent="0.25">
      <c r="A392" s="93"/>
      <c r="B392" s="95"/>
      <c r="C392" s="96"/>
      <c r="D392" s="102"/>
      <c r="E392" s="96"/>
      <c r="F392" s="98"/>
      <c r="G392" s="98"/>
      <c r="H392" s="99"/>
      <c r="I392" s="99"/>
      <c r="J392" s="103"/>
      <c r="K392" s="94"/>
    </row>
    <row r="393" spans="1:11" ht="15.75" x14ac:dyDescent="0.25">
      <c r="A393" s="93"/>
      <c r="B393" s="95"/>
      <c r="C393" s="96"/>
      <c r="D393" s="102"/>
      <c r="E393" s="96"/>
      <c r="F393" s="98"/>
      <c r="G393" s="98"/>
      <c r="H393" s="99"/>
      <c r="I393" s="99"/>
      <c r="J393" s="103"/>
      <c r="K393" s="94"/>
    </row>
    <row r="394" spans="1:11" ht="15.75" x14ac:dyDescent="0.25">
      <c r="A394" s="93"/>
      <c r="B394" s="95"/>
      <c r="C394" s="96"/>
      <c r="D394" s="102"/>
      <c r="E394" s="96"/>
      <c r="F394" s="98"/>
      <c r="G394" s="98"/>
      <c r="H394" s="99"/>
      <c r="I394" s="99"/>
      <c r="J394" s="103"/>
      <c r="K394" s="94"/>
    </row>
    <row r="395" spans="1:11" ht="15.75" x14ac:dyDescent="0.25">
      <c r="A395" s="93"/>
      <c r="B395" s="95"/>
      <c r="C395" s="96"/>
      <c r="D395" s="102"/>
      <c r="E395" s="96"/>
      <c r="F395" s="98"/>
      <c r="G395" s="98"/>
      <c r="H395" s="99"/>
      <c r="I395" s="99"/>
      <c r="J395" s="103"/>
      <c r="K395" s="94"/>
    </row>
    <row r="396" spans="1:11" ht="15.75" x14ac:dyDescent="0.25">
      <c r="A396" s="93"/>
      <c r="B396" s="95"/>
      <c r="C396" s="96"/>
      <c r="D396" s="102"/>
      <c r="E396" s="96"/>
      <c r="F396" s="98"/>
      <c r="G396" s="98"/>
      <c r="H396" s="99"/>
      <c r="I396" s="99"/>
      <c r="J396" s="103"/>
      <c r="K396" s="94"/>
    </row>
    <row r="397" spans="1:11" ht="15.75" x14ac:dyDescent="0.25">
      <c r="A397" s="93"/>
      <c r="B397" s="95"/>
      <c r="C397" s="96"/>
      <c r="D397" s="102"/>
      <c r="E397" s="96"/>
      <c r="F397" s="98"/>
      <c r="G397" s="98"/>
      <c r="H397" s="99"/>
      <c r="I397" s="99"/>
      <c r="J397" s="103"/>
      <c r="K397" s="94"/>
    </row>
    <row r="398" spans="1:11" ht="23.25" customHeight="1" x14ac:dyDescent="0.25">
      <c r="A398" s="93"/>
      <c r="B398" s="95"/>
      <c r="C398" s="96"/>
      <c r="D398" s="102"/>
      <c r="E398" s="96"/>
      <c r="F398" s="98"/>
      <c r="G398" s="98"/>
      <c r="H398" s="99"/>
      <c r="I398" s="99"/>
      <c r="J398" s="103"/>
      <c r="K398" s="94"/>
    </row>
    <row r="399" spans="1:11" ht="15.75" x14ac:dyDescent="0.25">
      <c r="A399" s="93"/>
      <c r="B399" s="95"/>
      <c r="C399" s="96"/>
      <c r="D399" s="102"/>
      <c r="E399" s="96"/>
      <c r="F399" s="98"/>
      <c r="G399" s="98"/>
      <c r="H399" s="99"/>
      <c r="I399" s="99"/>
      <c r="J399" s="103"/>
      <c r="K399" s="94"/>
    </row>
    <row r="400" spans="1:11" ht="15.75" x14ac:dyDescent="0.25">
      <c r="A400" s="93"/>
      <c r="B400" s="95"/>
      <c r="C400" s="96"/>
      <c r="D400" s="102"/>
      <c r="E400" s="96"/>
      <c r="F400" s="98"/>
      <c r="G400" s="98"/>
      <c r="H400" s="99"/>
      <c r="I400" s="99"/>
      <c r="J400" s="103"/>
      <c r="K400" s="94"/>
    </row>
    <row r="401" spans="1:11" ht="15.75" x14ac:dyDescent="0.25">
      <c r="A401" s="93"/>
      <c r="B401" s="95"/>
      <c r="C401" s="96"/>
      <c r="D401" s="102"/>
      <c r="E401" s="96"/>
      <c r="F401" s="98"/>
      <c r="G401" s="98"/>
      <c r="H401" s="99"/>
      <c r="I401" s="99"/>
      <c r="J401" s="103"/>
      <c r="K401" s="94"/>
    </row>
    <row r="402" spans="1:11" ht="15.75" x14ac:dyDescent="0.25">
      <c r="A402" s="93"/>
      <c r="B402" s="95"/>
      <c r="C402" s="96"/>
      <c r="D402" s="102"/>
      <c r="E402" s="96"/>
      <c r="F402" s="98"/>
      <c r="G402" s="98"/>
      <c r="H402" s="99"/>
      <c r="I402" s="99"/>
      <c r="J402" s="103"/>
      <c r="K402" s="94"/>
    </row>
    <row r="403" spans="1:11" ht="15.75" x14ac:dyDescent="0.25">
      <c r="A403" s="93"/>
      <c r="B403" s="95"/>
      <c r="C403" s="96"/>
      <c r="D403" s="102"/>
      <c r="E403" s="96"/>
      <c r="F403" s="98"/>
      <c r="G403" s="98"/>
      <c r="H403" s="99"/>
      <c r="I403" s="99"/>
      <c r="J403" s="103"/>
      <c r="K403" s="94"/>
    </row>
    <row r="404" spans="1:11" ht="15.75" x14ac:dyDescent="0.25">
      <c r="A404" s="93"/>
      <c r="B404" s="95"/>
      <c r="C404" s="96"/>
      <c r="D404" s="102"/>
      <c r="E404" s="96"/>
      <c r="F404" s="98"/>
      <c r="G404" s="98"/>
      <c r="H404" s="99"/>
      <c r="I404" s="99"/>
      <c r="J404" s="103"/>
      <c r="K404" s="94"/>
    </row>
    <row r="405" spans="1:11" ht="15.75" x14ac:dyDescent="0.25">
      <c r="A405" s="93"/>
      <c r="B405" s="95"/>
      <c r="C405" s="96"/>
      <c r="D405" s="102"/>
      <c r="E405" s="96"/>
      <c r="F405" s="98"/>
      <c r="G405" s="98"/>
      <c r="H405" s="99"/>
      <c r="I405" s="99"/>
      <c r="J405" s="103"/>
      <c r="K405" s="94"/>
    </row>
    <row r="406" spans="1:11" ht="15.75" x14ac:dyDescent="0.25">
      <c r="A406" s="93"/>
      <c r="B406" s="95"/>
      <c r="C406" s="96"/>
      <c r="D406" s="102"/>
      <c r="E406" s="96"/>
      <c r="F406" s="98"/>
      <c r="G406" s="98"/>
      <c r="H406" s="99"/>
      <c r="I406" s="99"/>
      <c r="J406" s="103"/>
      <c r="K406" s="94"/>
    </row>
    <row r="407" spans="1:11" ht="15.75" x14ac:dyDescent="0.25">
      <c r="A407" s="93"/>
      <c r="B407" s="95"/>
      <c r="C407" s="96"/>
      <c r="D407" s="102"/>
      <c r="E407" s="96"/>
      <c r="F407" s="98"/>
      <c r="G407" s="98"/>
      <c r="H407" s="99"/>
      <c r="I407" s="99"/>
      <c r="J407" s="103"/>
      <c r="K407" s="94"/>
    </row>
    <row r="408" spans="1:11" ht="15.75" x14ac:dyDescent="0.25">
      <c r="A408" s="93"/>
      <c r="B408" s="95"/>
      <c r="C408" s="96"/>
      <c r="D408" s="102"/>
      <c r="E408" s="96"/>
      <c r="F408" s="98"/>
      <c r="G408" s="98"/>
      <c r="H408" s="99"/>
      <c r="I408" s="99"/>
      <c r="J408" s="99"/>
      <c r="K408" s="94"/>
    </row>
    <row r="409" spans="1:11" ht="15.75" x14ac:dyDescent="0.25">
      <c r="A409" s="93"/>
      <c r="B409" s="95"/>
      <c r="C409" s="96"/>
      <c r="D409" s="102"/>
      <c r="E409" s="96"/>
      <c r="F409" s="98"/>
      <c r="G409" s="98"/>
      <c r="H409" s="99"/>
      <c r="I409" s="99"/>
      <c r="J409" s="99"/>
      <c r="K409" s="94"/>
    </row>
    <row r="410" spans="1:11" ht="15.75" x14ac:dyDescent="0.25">
      <c r="A410" s="93"/>
      <c r="B410" s="95"/>
      <c r="C410" s="96"/>
      <c r="D410" s="102"/>
      <c r="E410" s="96"/>
      <c r="F410" s="98"/>
      <c r="G410" s="98"/>
      <c r="H410" s="99"/>
      <c r="I410" s="99"/>
      <c r="J410" s="99"/>
      <c r="K410" s="94"/>
    </row>
    <row r="411" spans="1:11" ht="15.75" x14ac:dyDescent="0.25">
      <c r="A411" s="93"/>
      <c r="B411" s="95"/>
      <c r="C411" s="96"/>
      <c r="D411" s="102"/>
      <c r="E411" s="96"/>
      <c r="F411" s="98"/>
      <c r="G411" s="98"/>
      <c r="H411" s="99"/>
      <c r="I411" s="99"/>
      <c r="J411" s="99"/>
      <c r="K411" s="94"/>
    </row>
    <row r="412" spans="1:11" ht="15.75" x14ac:dyDescent="0.25">
      <c r="A412" s="93"/>
      <c r="B412" s="95"/>
      <c r="C412" s="96"/>
      <c r="D412" s="102"/>
      <c r="E412" s="96"/>
      <c r="F412" s="98"/>
      <c r="G412" s="98"/>
      <c r="H412" s="99"/>
      <c r="I412" s="99"/>
      <c r="J412" s="99"/>
      <c r="K412" s="94"/>
    </row>
    <row r="413" spans="1:11" ht="15.75" x14ac:dyDescent="0.25">
      <c r="A413" s="93"/>
      <c r="B413" s="95"/>
      <c r="C413" s="96"/>
      <c r="D413" s="102"/>
      <c r="E413" s="96"/>
      <c r="F413" s="98"/>
      <c r="G413" s="98"/>
      <c r="H413" s="99"/>
      <c r="I413" s="99"/>
      <c r="J413" s="99"/>
      <c r="K413" s="94"/>
    </row>
    <row r="414" spans="1:11" ht="15.75" x14ac:dyDescent="0.25">
      <c r="A414" s="93"/>
      <c r="B414" s="95"/>
      <c r="C414" s="96"/>
      <c r="D414" s="102"/>
      <c r="E414" s="96"/>
      <c r="F414" s="98"/>
      <c r="G414" s="98"/>
      <c r="H414" s="99"/>
      <c r="I414" s="99"/>
      <c r="J414" s="99"/>
      <c r="K414" s="94"/>
    </row>
    <row r="415" spans="1:11" ht="39.75" customHeight="1" x14ac:dyDescent="0.25">
      <c r="A415" s="93"/>
      <c r="B415" s="95"/>
      <c r="C415" s="96"/>
      <c r="D415" s="102"/>
      <c r="E415" s="96"/>
      <c r="F415" s="98"/>
      <c r="G415" s="98"/>
      <c r="H415" s="99"/>
      <c r="I415" s="99"/>
      <c r="J415" s="99"/>
      <c r="K415" s="94"/>
    </row>
    <row r="416" spans="1:11" ht="15.75" x14ac:dyDescent="0.25">
      <c r="A416" s="93"/>
      <c r="B416" s="95"/>
      <c r="C416" s="96"/>
      <c r="D416" s="102"/>
      <c r="E416" s="96"/>
      <c r="F416" s="98"/>
      <c r="G416" s="98"/>
      <c r="H416" s="99"/>
      <c r="I416" s="99"/>
      <c r="J416" s="99"/>
      <c r="K416" s="94"/>
    </row>
    <row r="417" spans="1:11" ht="15.75" x14ac:dyDescent="0.25">
      <c r="A417" s="93"/>
      <c r="B417" s="95"/>
      <c r="C417" s="96"/>
      <c r="D417" s="102"/>
      <c r="E417" s="96"/>
      <c r="F417" s="98"/>
      <c r="G417" s="98"/>
      <c r="H417" s="99"/>
      <c r="I417" s="99"/>
      <c r="J417" s="99"/>
      <c r="K417" s="94"/>
    </row>
    <row r="418" spans="1:11" ht="15.75" x14ac:dyDescent="0.25">
      <c r="A418" s="93"/>
      <c r="B418" s="95"/>
      <c r="C418" s="96"/>
      <c r="D418" s="102"/>
      <c r="E418" s="96"/>
      <c r="F418" s="98"/>
      <c r="G418" s="98"/>
      <c r="H418" s="99"/>
      <c r="I418" s="99"/>
      <c r="J418" s="99"/>
      <c r="K418" s="94"/>
    </row>
    <row r="419" spans="1:11" ht="15.75" x14ac:dyDescent="0.25">
      <c r="A419" s="93"/>
      <c r="B419" s="95"/>
      <c r="C419" s="96"/>
      <c r="D419" s="102"/>
      <c r="E419" s="96"/>
      <c r="F419" s="98"/>
      <c r="G419" s="98"/>
      <c r="H419" s="99"/>
      <c r="I419" s="99"/>
      <c r="J419" s="99"/>
      <c r="K419" s="94"/>
    </row>
    <row r="420" spans="1:11" ht="15.75" x14ac:dyDescent="0.25">
      <c r="A420" s="93"/>
      <c r="B420" s="95"/>
      <c r="C420" s="96"/>
      <c r="D420" s="102"/>
      <c r="E420" s="96"/>
      <c r="F420" s="98"/>
      <c r="G420" s="98"/>
      <c r="H420" s="99"/>
      <c r="I420" s="99"/>
      <c r="J420" s="99"/>
      <c r="K420" s="94"/>
    </row>
    <row r="421" spans="1:11" ht="15.75" x14ac:dyDescent="0.25">
      <c r="A421" s="93"/>
      <c r="B421" s="95"/>
      <c r="C421" s="96"/>
      <c r="D421" s="102"/>
      <c r="E421" s="96"/>
      <c r="F421" s="98"/>
      <c r="G421" s="98"/>
      <c r="H421" s="99"/>
      <c r="I421" s="99"/>
      <c r="J421" s="99"/>
      <c r="K421" s="94"/>
    </row>
    <row r="422" spans="1:11" ht="15.75" x14ac:dyDescent="0.25">
      <c r="A422" s="93"/>
      <c r="B422" s="95"/>
      <c r="C422" s="96"/>
      <c r="D422" s="102"/>
      <c r="E422" s="96"/>
      <c r="F422" s="98"/>
      <c r="G422" s="98"/>
      <c r="H422" s="99"/>
      <c r="I422" s="99"/>
      <c r="J422" s="99"/>
      <c r="K422" s="94"/>
    </row>
    <row r="423" spans="1:11" ht="15.75" x14ac:dyDescent="0.25">
      <c r="A423" s="93"/>
      <c r="B423" s="95"/>
      <c r="C423" s="96"/>
      <c r="D423" s="102"/>
      <c r="E423" s="96"/>
      <c r="F423" s="98"/>
      <c r="G423" s="98"/>
      <c r="H423" s="99"/>
      <c r="I423" s="99"/>
      <c r="J423" s="99"/>
      <c r="K423" s="94"/>
    </row>
    <row r="424" spans="1:11" ht="15.75" x14ac:dyDescent="0.25">
      <c r="A424" s="93"/>
      <c r="B424" s="95"/>
      <c r="C424" s="96"/>
      <c r="D424" s="102"/>
      <c r="E424" s="96"/>
      <c r="F424" s="98"/>
      <c r="G424" s="98"/>
      <c r="H424" s="99"/>
      <c r="I424" s="99"/>
      <c r="J424" s="99"/>
      <c r="K424" s="94"/>
    </row>
    <row r="425" spans="1:11" ht="15.75" x14ac:dyDescent="0.25">
      <c r="A425" s="93"/>
      <c r="B425" s="95"/>
      <c r="C425" s="96"/>
      <c r="D425" s="102"/>
      <c r="E425" s="96"/>
      <c r="F425" s="98"/>
      <c r="G425" s="98"/>
      <c r="H425" s="99"/>
      <c r="I425" s="99"/>
      <c r="J425" s="99"/>
      <c r="K425" s="94"/>
    </row>
    <row r="426" spans="1:11" ht="15.75" x14ac:dyDescent="0.25">
      <c r="A426" s="93"/>
      <c r="B426" s="95"/>
      <c r="C426" s="96"/>
      <c r="D426" s="102"/>
      <c r="E426" s="96"/>
      <c r="F426" s="98"/>
      <c r="G426" s="98"/>
      <c r="H426" s="99"/>
      <c r="I426" s="99"/>
      <c r="J426" s="99"/>
      <c r="K426" s="94"/>
    </row>
    <row r="427" spans="1:11" ht="15.75" x14ac:dyDescent="0.25">
      <c r="A427" s="93"/>
      <c r="B427" s="95"/>
      <c r="C427" s="96"/>
      <c r="D427" s="102"/>
      <c r="E427" s="96"/>
      <c r="F427" s="98"/>
      <c r="G427" s="98"/>
      <c r="H427" s="103"/>
      <c r="I427" s="103"/>
      <c r="J427" s="99"/>
      <c r="K427" s="94"/>
    </row>
    <row r="428" spans="1:11" ht="23.25" customHeight="1" x14ac:dyDescent="0.25">
      <c r="A428" s="93"/>
      <c r="B428" s="95"/>
      <c r="C428" s="96"/>
      <c r="D428" s="102"/>
      <c r="E428" s="96"/>
      <c r="F428" s="98"/>
      <c r="G428" s="98"/>
      <c r="H428" s="103"/>
      <c r="I428" s="103"/>
      <c r="J428" s="99"/>
      <c r="K428" s="94"/>
    </row>
    <row r="429" spans="1:11" ht="15.75" x14ac:dyDescent="0.25">
      <c r="A429" s="93"/>
      <c r="B429" s="95"/>
      <c r="C429" s="96"/>
      <c r="D429" s="102"/>
      <c r="E429" s="96"/>
      <c r="F429" s="98"/>
      <c r="G429" s="98"/>
      <c r="H429" s="103"/>
      <c r="I429" s="103"/>
      <c r="J429" s="99"/>
      <c r="K429" s="94"/>
    </row>
    <row r="430" spans="1:11" ht="15.75" x14ac:dyDescent="0.25">
      <c r="A430" s="93"/>
      <c r="B430" s="95"/>
      <c r="C430" s="96"/>
      <c r="D430" s="102"/>
      <c r="E430" s="96"/>
      <c r="F430" s="98"/>
      <c r="G430" s="98"/>
      <c r="H430" s="103"/>
      <c r="I430" s="103"/>
      <c r="J430" s="99"/>
      <c r="K430" s="94"/>
    </row>
    <row r="431" spans="1:11" ht="15.75" x14ac:dyDescent="0.25">
      <c r="A431" s="93"/>
      <c r="B431" s="95"/>
      <c r="C431" s="96"/>
      <c r="D431" s="102"/>
      <c r="E431" s="96"/>
      <c r="F431" s="98"/>
      <c r="G431" s="98"/>
      <c r="H431" s="103"/>
      <c r="I431" s="103"/>
      <c r="J431" s="99"/>
      <c r="K431" s="94"/>
    </row>
    <row r="432" spans="1:11" ht="15.75" x14ac:dyDescent="0.25">
      <c r="A432" s="93"/>
      <c r="B432" s="95"/>
      <c r="C432" s="96"/>
      <c r="D432" s="102"/>
      <c r="E432" s="96"/>
      <c r="F432" s="98"/>
      <c r="G432" s="98"/>
      <c r="H432" s="103"/>
      <c r="I432" s="103"/>
      <c r="J432" s="99"/>
      <c r="K432" s="94"/>
    </row>
    <row r="433" spans="1:11" ht="15.75" x14ac:dyDescent="0.25">
      <c r="A433" s="93"/>
      <c r="B433" s="95"/>
      <c r="C433" s="96"/>
      <c r="D433" s="102"/>
      <c r="E433" s="96"/>
      <c r="F433" s="98"/>
      <c r="G433" s="98"/>
      <c r="H433" s="103"/>
      <c r="I433" s="103"/>
      <c r="J433" s="99"/>
      <c r="K433" s="94"/>
    </row>
    <row r="434" spans="1:11" ht="15.75" x14ac:dyDescent="0.25">
      <c r="A434" s="93"/>
      <c r="B434" s="95"/>
      <c r="C434" s="96"/>
      <c r="D434" s="102"/>
      <c r="E434" s="96"/>
      <c r="F434" s="98"/>
      <c r="G434" s="98"/>
      <c r="H434" s="103"/>
      <c r="I434" s="103"/>
      <c r="J434" s="99"/>
      <c r="K434" s="94"/>
    </row>
    <row r="435" spans="1:11" ht="15.75" x14ac:dyDescent="0.25">
      <c r="A435" s="93"/>
      <c r="B435" s="95"/>
      <c r="C435" s="96"/>
      <c r="D435" s="102"/>
      <c r="E435" s="96"/>
      <c r="F435" s="98"/>
      <c r="G435" s="98"/>
      <c r="H435" s="103"/>
      <c r="I435" s="103"/>
      <c r="J435" s="99"/>
      <c r="K435" s="94"/>
    </row>
    <row r="436" spans="1:11" ht="15.75" x14ac:dyDescent="0.25">
      <c r="A436" s="93"/>
      <c r="B436" s="95"/>
      <c r="C436" s="96"/>
      <c r="D436" s="102"/>
      <c r="E436" s="96"/>
      <c r="F436" s="98"/>
      <c r="G436" s="98"/>
      <c r="H436" s="103"/>
      <c r="I436" s="103"/>
      <c r="J436" s="99"/>
      <c r="K436" s="94"/>
    </row>
    <row r="437" spans="1:11" ht="15.75" x14ac:dyDescent="0.25">
      <c r="A437" s="93"/>
      <c r="B437" s="95"/>
      <c r="C437" s="96"/>
      <c r="D437" s="102"/>
      <c r="E437" s="96"/>
      <c r="F437" s="98"/>
      <c r="G437" s="98"/>
      <c r="H437" s="103"/>
      <c r="I437" s="103"/>
      <c r="J437" s="99"/>
      <c r="K437" s="94"/>
    </row>
    <row r="438" spans="1:11" ht="15.75" x14ac:dyDescent="0.25">
      <c r="A438" s="93"/>
      <c r="B438" s="95"/>
      <c r="C438" s="96"/>
      <c r="D438" s="102"/>
      <c r="E438" s="96"/>
      <c r="F438" s="98"/>
      <c r="G438" s="98"/>
      <c r="H438" s="103"/>
      <c r="I438" s="103"/>
      <c r="J438" s="99"/>
      <c r="K438" s="94"/>
    </row>
    <row r="439" spans="1:11" ht="15.75" x14ac:dyDescent="0.25">
      <c r="A439" s="93"/>
      <c r="B439" s="95"/>
      <c r="C439" s="96"/>
      <c r="D439" s="102"/>
      <c r="E439" s="96"/>
      <c r="F439" s="98"/>
      <c r="G439" s="98"/>
      <c r="H439" s="103"/>
      <c r="I439" s="103"/>
      <c r="J439" s="99"/>
      <c r="K439" s="94"/>
    </row>
    <row r="440" spans="1:11" ht="15.75" x14ac:dyDescent="0.25">
      <c r="A440" s="93"/>
      <c r="B440" s="95"/>
      <c r="C440" s="96"/>
      <c r="D440" s="102"/>
      <c r="E440" s="96"/>
      <c r="F440" s="98"/>
      <c r="G440" s="98"/>
      <c r="H440" s="103"/>
      <c r="I440" s="103"/>
      <c r="J440" s="99"/>
      <c r="K440" s="94"/>
    </row>
    <row r="441" spans="1:11" ht="15.75" x14ac:dyDescent="0.25">
      <c r="A441" s="93"/>
      <c r="B441" s="95"/>
      <c r="C441" s="96"/>
      <c r="D441" s="102"/>
      <c r="E441" s="96"/>
      <c r="F441" s="98"/>
      <c r="G441" s="98"/>
      <c r="H441" s="103"/>
      <c r="I441" s="103"/>
      <c r="J441" s="99"/>
      <c r="K441" s="94"/>
    </row>
    <row r="442" spans="1:11" ht="15.75" x14ac:dyDescent="0.25">
      <c r="A442" s="93"/>
      <c r="B442" s="95"/>
      <c r="C442" s="96"/>
      <c r="D442" s="102"/>
      <c r="E442" s="96"/>
      <c r="F442" s="98"/>
      <c r="G442" s="98"/>
      <c r="H442" s="103"/>
      <c r="I442" s="103"/>
      <c r="J442" s="99"/>
      <c r="K442" s="94"/>
    </row>
    <row r="443" spans="1:11" ht="15.75" x14ac:dyDescent="0.25">
      <c r="A443" s="93"/>
      <c r="B443" s="95"/>
      <c r="C443" s="96"/>
      <c r="D443" s="102"/>
      <c r="E443" s="96"/>
      <c r="F443" s="98"/>
      <c r="G443" s="98"/>
      <c r="H443" s="103"/>
      <c r="I443" s="103"/>
      <c r="J443" s="99"/>
      <c r="K443" s="94"/>
    </row>
    <row r="444" spans="1:11" ht="15.75" x14ac:dyDescent="0.25">
      <c r="A444" s="93"/>
      <c r="B444" s="95"/>
      <c r="C444" s="96"/>
      <c r="D444" s="102"/>
      <c r="E444" s="96"/>
      <c r="F444" s="98"/>
      <c r="G444" s="98"/>
      <c r="H444" s="103"/>
      <c r="I444" s="103"/>
      <c r="J444" s="99"/>
      <c r="K444" s="94"/>
    </row>
    <row r="445" spans="1:11" ht="15.75" x14ac:dyDescent="0.25">
      <c r="A445" s="93"/>
      <c r="B445" s="95"/>
      <c r="C445" s="96"/>
      <c r="D445" s="102"/>
      <c r="E445" s="96"/>
      <c r="F445" s="98"/>
      <c r="G445" s="98"/>
      <c r="H445" s="103"/>
      <c r="I445" s="103"/>
      <c r="J445" s="99"/>
      <c r="K445" s="94"/>
    </row>
    <row r="446" spans="1:11" ht="15.75" x14ac:dyDescent="0.25">
      <c r="A446" s="93"/>
      <c r="B446" s="95"/>
      <c r="C446" s="96"/>
      <c r="D446" s="102"/>
      <c r="E446" s="96"/>
      <c r="F446" s="98"/>
      <c r="G446" s="98"/>
      <c r="H446" s="103"/>
      <c r="I446" s="103"/>
      <c r="J446" s="99"/>
      <c r="K446" s="94"/>
    </row>
    <row r="447" spans="1:11" ht="15.75" x14ac:dyDescent="0.25">
      <c r="A447" s="93"/>
      <c r="B447" s="95"/>
      <c r="C447" s="96"/>
      <c r="D447" s="102"/>
      <c r="E447" s="96"/>
      <c r="F447" s="98"/>
      <c r="G447" s="98"/>
      <c r="H447" s="103"/>
      <c r="I447" s="103"/>
      <c r="J447" s="99"/>
      <c r="K447" s="94"/>
    </row>
    <row r="448" spans="1:11" ht="15.75" x14ac:dyDescent="0.25">
      <c r="A448" s="93"/>
      <c r="B448" s="95"/>
      <c r="C448" s="96"/>
      <c r="D448" s="102"/>
      <c r="E448" s="96"/>
      <c r="F448" s="98"/>
      <c r="G448" s="98"/>
      <c r="H448" s="103"/>
      <c r="I448" s="103"/>
      <c r="J448" s="99"/>
      <c r="K448" s="94"/>
    </row>
    <row r="449" spans="1:11" ht="15.75" x14ac:dyDescent="0.25">
      <c r="A449" s="93"/>
      <c r="B449" s="95"/>
      <c r="C449" s="96"/>
      <c r="D449" s="102"/>
      <c r="E449" s="96"/>
      <c r="F449" s="98"/>
      <c r="G449" s="98"/>
      <c r="H449" s="103"/>
      <c r="I449" s="103"/>
      <c r="J449" s="99"/>
      <c r="K449" s="94"/>
    </row>
    <row r="450" spans="1:11" ht="15.75" x14ac:dyDescent="0.25">
      <c r="A450" s="93"/>
      <c r="B450" s="95"/>
      <c r="C450" s="96"/>
      <c r="D450" s="102"/>
      <c r="E450" s="96"/>
      <c r="F450" s="98"/>
      <c r="G450" s="98"/>
      <c r="H450" s="103"/>
      <c r="I450" s="103"/>
      <c r="J450" s="99"/>
      <c r="K450" s="94"/>
    </row>
    <row r="451" spans="1:11" ht="15.75" x14ac:dyDescent="0.25">
      <c r="A451" s="93"/>
      <c r="B451" s="95"/>
      <c r="C451" s="96"/>
      <c r="D451" s="102"/>
      <c r="E451" s="96"/>
      <c r="F451" s="98"/>
      <c r="G451" s="98"/>
      <c r="H451" s="103"/>
      <c r="I451" s="103"/>
      <c r="J451" s="99"/>
      <c r="K451" s="94"/>
    </row>
    <row r="452" spans="1:11" ht="15.75" x14ac:dyDescent="0.25">
      <c r="A452" s="93"/>
      <c r="B452" s="95"/>
      <c r="C452" s="96"/>
      <c r="D452" s="102"/>
      <c r="E452" s="96"/>
      <c r="F452" s="98"/>
      <c r="G452" s="98"/>
      <c r="H452" s="103"/>
      <c r="I452" s="103"/>
      <c r="J452" s="99"/>
      <c r="K452" s="94"/>
    </row>
    <row r="453" spans="1:11" ht="15.75" x14ac:dyDescent="0.25">
      <c r="A453" s="93"/>
      <c r="B453" s="95"/>
      <c r="C453" s="96"/>
      <c r="D453" s="102"/>
      <c r="E453" s="96"/>
      <c r="F453" s="98"/>
      <c r="G453" s="98"/>
      <c r="H453" s="103"/>
      <c r="I453" s="103"/>
      <c r="J453" s="99"/>
      <c r="K453" s="94"/>
    </row>
    <row r="454" spans="1:11" ht="15.75" x14ac:dyDescent="0.25">
      <c r="A454" s="93"/>
      <c r="B454" s="95"/>
      <c r="C454" s="96"/>
      <c r="D454" s="102"/>
      <c r="E454" s="96"/>
      <c r="F454" s="98"/>
      <c r="G454" s="98"/>
      <c r="H454" s="103"/>
      <c r="I454" s="103"/>
      <c r="J454" s="99"/>
      <c r="K454" s="94"/>
    </row>
    <row r="455" spans="1:11" ht="15.75" x14ac:dyDescent="0.25">
      <c r="A455" s="93"/>
      <c r="B455" s="95"/>
      <c r="C455" s="96"/>
      <c r="D455" s="102"/>
      <c r="E455" s="96"/>
      <c r="F455" s="98"/>
      <c r="G455" s="98"/>
      <c r="H455" s="103"/>
      <c r="I455" s="103"/>
      <c r="J455" s="99"/>
      <c r="K455" s="94"/>
    </row>
    <row r="456" spans="1:11" ht="15.75" x14ac:dyDescent="0.25">
      <c r="A456" s="93"/>
      <c r="B456" s="95"/>
      <c r="C456" s="96"/>
      <c r="D456" s="102"/>
      <c r="E456" s="96"/>
      <c r="F456" s="98"/>
      <c r="G456" s="98"/>
      <c r="H456" s="103"/>
      <c r="I456" s="103"/>
      <c r="J456" s="99"/>
      <c r="K456" s="94"/>
    </row>
    <row r="457" spans="1:11" ht="15.75" x14ac:dyDescent="0.25">
      <c r="A457" s="93"/>
      <c r="B457" s="95"/>
      <c r="C457" s="96"/>
      <c r="D457" s="102"/>
      <c r="E457" s="96"/>
      <c r="F457" s="98"/>
      <c r="G457" s="98"/>
      <c r="H457" s="103"/>
      <c r="I457" s="103"/>
      <c r="J457" s="99"/>
      <c r="K457" s="94"/>
    </row>
    <row r="458" spans="1:11" ht="15.75" x14ac:dyDescent="0.25">
      <c r="A458" s="93"/>
      <c r="B458" s="95"/>
      <c r="C458" s="96"/>
      <c r="D458" s="102"/>
      <c r="E458" s="96"/>
      <c r="F458" s="98"/>
      <c r="G458" s="98"/>
      <c r="H458" s="99"/>
      <c r="I458" s="99"/>
      <c r="J458" s="99"/>
      <c r="K458" s="94"/>
    </row>
    <row r="459" spans="1:11" ht="15.75" x14ac:dyDescent="0.25">
      <c r="A459" s="93"/>
      <c r="B459" s="95"/>
      <c r="C459" s="96"/>
      <c r="D459" s="102"/>
      <c r="E459" s="96"/>
      <c r="F459" s="98"/>
      <c r="G459" s="98"/>
      <c r="H459" s="99"/>
      <c r="I459" s="99"/>
      <c r="J459" s="99"/>
      <c r="K459" s="94"/>
    </row>
    <row r="460" spans="1:11" ht="15.75" x14ac:dyDescent="0.25">
      <c r="A460" s="93"/>
      <c r="B460" s="95"/>
      <c r="C460" s="96"/>
      <c r="D460" s="102"/>
      <c r="E460" s="96"/>
      <c r="F460" s="98"/>
      <c r="G460" s="98"/>
      <c r="H460" s="99"/>
      <c r="I460" s="99"/>
      <c r="J460" s="99"/>
      <c r="K460" s="94"/>
    </row>
    <row r="461" spans="1:11" ht="15.75" x14ac:dyDescent="0.25">
      <c r="A461" s="93"/>
      <c r="B461" s="95"/>
      <c r="C461" s="96"/>
      <c r="D461" s="102"/>
      <c r="E461" s="96"/>
      <c r="F461" s="98"/>
      <c r="G461" s="98"/>
      <c r="H461" s="99"/>
      <c r="I461" s="99"/>
      <c r="J461" s="99"/>
      <c r="K461" s="94"/>
    </row>
    <row r="462" spans="1:11" ht="15.75" x14ac:dyDescent="0.25">
      <c r="A462" s="93"/>
      <c r="B462" s="95"/>
      <c r="C462" s="96"/>
      <c r="D462" s="102"/>
      <c r="E462" s="96"/>
      <c r="F462" s="98"/>
      <c r="G462" s="98"/>
      <c r="H462" s="99"/>
      <c r="I462" s="99"/>
      <c r="J462" s="99"/>
      <c r="K462" s="94"/>
    </row>
    <row r="463" spans="1:11" ht="15.75" x14ac:dyDescent="0.25">
      <c r="A463" s="93"/>
      <c r="B463" s="95"/>
      <c r="C463" s="96"/>
      <c r="D463" s="102"/>
      <c r="E463" s="96"/>
      <c r="F463" s="98"/>
      <c r="G463" s="98"/>
      <c r="H463" s="99"/>
      <c r="I463" s="99"/>
      <c r="J463" s="99"/>
      <c r="K463" s="94"/>
    </row>
    <row r="464" spans="1:11" ht="15.75" x14ac:dyDescent="0.25">
      <c r="A464" s="93"/>
      <c r="B464" s="95"/>
      <c r="C464" s="96"/>
      <c r="D464" s="102"/>
      <c r="E464" s="96"/>
      <c r="F464" s="98"/>
      <c r="G464" s="98"/>
      <c r="H464" s="99"/>
      <c r="I464" s="99"/>
      <c r="J464" s="99"/>
      <c r="K464" s="94"/>
    </row>
    <row r="465" spans="1:11" ht="15.75" x14ac:dyDescent="0.25">
      <c r="A465" s="93"/>
      <c r="B465" s="95"/>
      <c r="C465" s="96"/>
      <c r="D465" s="102"/>
      <c r="E465" s="96"/>
      <c r="F465" s="98"/>
      <c r="G465" s="98"/>
      <c r="H465" s="99"/>
      <c r="I465" s="99"/>
      <c r="J465" s="99"/>
      <c r="K465" s="94"/>
    </row>
    <row r="466" spans="1:11" ht="15.75" x14ac:dyDescent="0.25">
      <c r="A466" s="93"/>
      <c r="B466" s="95"/>
      <c r="C466" s="96"/>
      <c r="D466" s="102"/>
      <c r="E466" s="96"/>
      <c r="F466" s="98"/>
      <c r="G466" s="98"/>
      <c r="H466" s="99"/>
      <c r="I466" s="99"/>
      <c r="J466" s="99"/>
      <c r="K466" s="94"/>
    </row>
    <row r="467" spans="1:11" ht="15.75" x14ac:dyDescent="0.25">
      <c r="A467" s="93"/>
      <c r="B467" s="95"/>
      <c r="C467" s="96"/>
      <c r="D467" s="102"/>
      <c r="E467" s="96"/>
      <c r="F467" s="98"/>
      <c r="G467" s="98"/>
      <c r="H467" s="99"/>
      <c r="I467" s="99"/>
      <c r="J467" s="99"/>
      <c r="K467" s="94"/>
    </row>
    <row r="468" spans="1:11" ht="15.75" x14ac:dyDescent="0.25">
      <c r="A468" s="93"/>
      <c r="B468" s="95"/>
      <c r="C468" s="96"/>
      <c r="D468" s="102"/>
      <c r="E468" s="96"/>
      <c r="F468" s="98"/>
      <c r="G468" s="98"/>
      <c r="H468" s="99"/>
      <c r="I468" s="99"/>
      <c r="J468" s="99"/>
      <c r="K468" s="94"/>
    </row>
    <row r="469" spans="1:11" ht="15.75" x14ac:dyDescent="0.25">
      <c r="A469" s="93"/>
      <c r="B469" s="95"/>
      <c r="C469" s="96"/>
      <c r="D469" s="102"/>
      <c r="E469" s="96"/>
      <c r="F469" s="98"/>
      <c r="G469" s="98"/>
      <c r="H469" s="99"/>
      <c r="I469" s="99"/>
      <c r="J469" s="99"/>
      <c r="K469" s="94"/>
    </row>
    <row r="470" spans="1:11" ht="15.75" x14ac:dyDescent="0.25">
      <c r="A470" s="93"/>
      <c r="B470" s="95"/>
      <c r="C470" s="96"/>
      <c r="D470" s="102"/>
      <c r="E470" s="96"/>
      <c r="F470" s="98"/>
      <c r="G470" s="98"/>
      <c r="H470" s="99"/>
      <c r="I470" s="99"/>
      <c r="J470" s="99"/>
      <c r="K470" s="94"/>
    </row>
    <row r="471" spans="1:11" ht="15.75" x14ac:dyDescent="0.25">
      <c r="A471" s="93"/>
      <c r="B471" s="95"/>
      <c r="C471" s="96"/>
      <c r="D471" s="102"/>
      <c r="E471" s="96"/>
      <c r="F471" s="98"/>
      <c r="G471" s="98"/>
      <c r="H471" s="99"/>
      <c r="I471" s="99"/>
      <c r="J471" s="99"/>
      <c r="K471" s="94"/>
    </row>
    <row r="472" spans="1:11" ht="39.75" customHeight="1" x14ac:dyDescent="0.25">
      <c r="A472" s="93"/>
      <c r="B472" s="95"/>
      <c r="C472" s="96"/>
      <c r="D472" s="102"/>
      <c r="E472" s="96"/>
      <c r="F472" s="98"/>
      <c r="G472" s="98"/>
      <c r="H472" s="99"/>
      <c r="I472" s="99"/>
      <c r="J472" s="99"/>
      <c r="K472" s="94"/>
    </row>
    <row r="473" spans="1:11" ht="15.75" x14ac:dyDescent="0.25">
      <c r="A473" s="93"/>
      <c r="B473" s="95"/>
      <c r="C473" s="96"/>
      <c r="D473" s="102"/>
      <c r="E473" s="96"/>
      <c r="F473" s="98"/>
      <c r="G473" s="98"/>
      <c r="H473" s="99"/>
      <c r="I473" s="99"/>
      <c r="J473" s="99"/>
      <c r="K473" s="94"/>
    </row>
    <row r="474" spans="1:11" ht="15.75" x14ac:dyDescent="0.25">
      <c r="A474" s="93"/>
      <c r="B474" s="95"/>
      <c r="C474" s="96"/>
      <c r="D474" s="102"/>
      <c r="E474" s="96"/>
      <c r="F474" s="98"/>
      <c r="G474" s="98"/>
      <c r="H474" s="99"/>
      <c r="I474" s="99"/>
      <c r="J474" s="99"/>
      <c r="K474" s="94"/>
    </row>
    <row r="475" spans="1:11" ht="15.75" x14ac:dyDescent="0.25">
      <c r="A475" s="93"/>
      <c r="B475" s="95"/>
      <c r="C475" s="96"/>
      <c r="D475" s="102"/>
      <c r="E475" s="96"/>
      <c r="F475" s="98"/>
      <c r="G475" s="98"/>
      <c r="H475" s="99"/>
      <c r="I475" s="99"/>
      <c r="J475" s="99"/>
      <c r="K475" s="94"/>
    </row>
    <row r="476" spans="1:11" ht="15.75" x14ac:dyDescent="0.25">
      <c r="A476" s="93"/>
      <c r="B476" s="95"/>
      <c r="C476" s="96"/>
      <c r="D476" s="102"/>
      <c r="E476" s="96"/>
      <c r="F476" s="98"/>
      <c r="G476" s="98"/>
      <c r="H476" s="99"/>
      <c r="I476" s="99"/>
      <c r="J476" s="99"/>
      <c r="K476" s="94"/>
    </row>
    <row r="477" spans="1:11" ht="15.75" x14ac:dyDescent="0.25">
      <c r="A477" s="93"/>
      <c r="B477" s="95"/>
      <c r="C477" s="96"/>
      <c r="D477" s="102"/>
      <c r="E477" s="96"/>
      <c r="F477" s="98"/>
      <c r="G477" s="98"/>
      <c r="H477" s="99"/>
      <c r="I477" s="99"/>
      <c r="J477" s="99"/>
      <c r="K477" s="94"/>
    </row>
    <row r="478" spans="1:11" ht="15.75" x14ac:dyDescent="0.25">
      <c r="A478" s="93"/>
      <c r="B478" s="95"/>
      <c r="C478" s="96"/>
      <c r="D478" s="102"/>
      <c r="E478" s="96"/>
      <c r="F478" s="98"/>
      <c r="G478" s="98"/>
      <c r="H478" s="99"/>
      <c r="I478" s="99"/>
      <c r="J478" s="99"/>
      <c r="K478" s="94"/>
    </row>
    <row r="479" spans="1:11" ht="15.75" x14ac:dyDescent="0.25">
      <c r="A479" s="93"/>
      <c r="B479" s="95"/>
      <c r="C479" s="96"/>
      <c r="D479" s="102"/>
      <c r="E479" s="96"/>
      <c r="F479" s="98"/>
      <c r="G479" s="98"/>
      <c r="H479" s="99"/>
      <c r="I479" s="99"/>
      <c r="J479" s="99"/>
      <c r="K479" s="94"/>
    </row>
    <row r="480" spans="1:11" ht="15.75" x14ac:dyDescent="0.25">
      <c r="A480" s="93"/>
      <c r="B480" s="95"/>
      <c r="C480" s="96"/>
      <c r="D480" s="102"/>
      <c r="E480" s="96"/>
      <c r="F480" s="98"/>
      <c r="G480" s="98"/>
      <c r="H480" s="99"/>
      <c r="I480" s="99"/>
      <c r="J480" s="99"/>
      <c r="K480" s="94"/>
    </row>
    <row r="481" spans="1:11" ht="15.75" x14ac:dyDescent="0.25">
      <c r="A481" s="93"/>
      <c r="B481" s="95"/>
      <c r="C481" s="96"/>
      <c r="D481" s="102"/>
      <c r="E481" s="96"/>
      <c r="F481" s="98"/>
      <c r="G481" s="98"/>
      <c r="H481" s="99"/>
      <c r="I481" s="99"/>
      <c r="J481" s="99"/>
      <c r="K481" s="94"/>
    </row>
    <row r="482" spans="1:11" ht="15.75" x14ac:dyDescent="0.25">
      <c r="A482" s="93"/>
      <c r="B482" s="95"/>
      <c r="C482" s="96"/>
      <c r="D482" s="102"/>
      <c r="E482" s="96"/>
      <c r="F482" s="98"/>
      <c r="G482" s="98"/>
      <c r="H482" s="99"/>
      <c r="I482" s="99"/>
      <c r="J482" s="99"/>
      <c r="K482" s="94"/>
    </row>
    <row r="483" spans="1:11" ht="15.75" x14ac:dyDescent="0.25">
      <c r="A483" s="93"/>
      <c r="B483" s="95"/>
      <c r="C483" s="96"/>
      <c r="D483" s="102"/>
      <c r="E483" s="96"/>
      <c r="F483" s="98"/>
      <c r="G483" s="98"/>
      <c r="H483" s="99"/>
      <c r="I483" s="99"/>
      <c r="J483" s="99"/>
      <c r="K483" s="94"/>
    </row>
    <row r="484" spans="1:11" ht="15.75" x14ac:dyDescent="0.25">
      <c r="A484" s="93"/>
      <c r="B484" s="95"/>
      <c r="C484" s="96"/>
      <c r="D484" s="102"/>
      <c r="E484" s="96"/>
      <c r="F484" s="98"/>
      <c r="G484" s="98"/>
      <c r="H484" s="99"/>
      <c r="I484" s="99"/>
      <c r="J484" s="99"/>
      <c r="K484" s="94"/>
    </row>
    <row r="485" spans="1:11" ht="15.75" x14ac:dyDescent="0.25">
      <c r="A485" s="93"/>
      <c r="B485" s="95"/>
      <c r="C485" s="96"/>
      <c r="D485" s="102"/>
      <c r="E485" s="96"/>
      <c r="F485" s="98"/>
      <c r="G485" s="98"/>
      <c r="H485" s="99"/>
      <c r="I485" s="99"/>
      <c r="J485" s="99"/>
      <c r="K485" s="94"/>
    </row>
    <row r="486" spans="1:11" ht="15.75" x14ac:dyDescent="0.25">
      <c r="A486" s="93"/>
      <c r="B486" s="95"/>
      <c r="C486" s="96"/>
      <c r="D486" s="102"/>
      <c r="E486" s="96"/>
      <c r="F486" s="98"/>
      <c r="G486" s="98"/>
      <c r="H486" s="99"/>
      <c r="I486" s="99"/>
      <c r="J486" s="99"/>
      <c r="K486" s="94"/>
    </row>
    <row r="487" spans="1:11" ht="15.75" x14ac:dyDescent="0.25">
      <c r="A487" s="93"/>
      <c r="B487" s="95"/>
      <c r="C487" s="96"/>
      <c r="D487" s="102"/>
      <c r="E487" s="96"/>
      <c r="F487" s="98"/>
      <c r="G487" s="98"/>
      <c r="H487" s="99"/>
      <c r="I487" s="99"/>
      <c r="J487" s="99"/>
      <c r="K487" s="94"/>
    </row>
    <row r="488" spans="1:11" ht="15.75" x14ac:dyDescent="0.25">
      <c r="A488" s="93"/>
      <c r="B488" s="95"/>
      <c r="C488" s="96"/>
      <c r="D488" s="102"/>
      <c r="E488" s="96"/>
      <c r="F488" s="98"/>
      <c r="G488" s="98"/>
      <c r="H488" s="99"/>
      <c r="I488" s="99"/>
      <c r="J488" s="99"/>
      <c r="K488" s="94"/>
    </row>
    <row r="489" spans="1:11" ht="15.75" x14ac:dyDescent="0.25">
      <c r="A489" s="93"/>
      <c r="B489" s="95"/>
      <c r="C489" s="96"/>
      <c r="D489" s="102"/>
      <c r="E489" s="96"/>
      <c r="F489" s="98"/>
      <c r="G489" s="98"/>
      <c r="H489" s="99"/>
      <c r="I489" s="99"/>
      <c r="J489" s="99"/>
      <c r="K489" s="94"/>
    </row>
    <row r="490" spans="1:11" ht="15.75" x14ac:dyDescent="0.25">
      <c r="A490" s="93"/>
      <c r="B490" s="95"/>
      <c r="C490" s="96"/>
      <c r="D490" s="102"/>
      <c r="E490" s="96"/>
      <c r="F490" s="98"/>
      <c r="G490" s="98"/>
      <c r="H490" s="99"/>
      <c r="I490" s="99"/>
      <c r="J490" s="99"/>
      <c r="K490" s="94"/>
    </row>
    <row r="491" spans="1:11" ht="15.75" x14ac:dyDescent="0.25">
      <c r="A491" s="93"/>
      <c r="B491" s="95"/>
      <c r="C491" s="96"/>
      <c r="D491" s="102"/>
      <c r="E491" s="96"/>
      <c r="F491" s="98"/>
      <c r="G491" s="98"/>
      <c r="H491" s="99"/>
      <c r="I491" s="99"/>
      <c r="J491" s="99"/>
      <c r="K491" s="94"/>
    </row>
    <row r="492" spans="1:11" ht="15.75" x14ac:dyDescent="0.25">
      <c r="A492" s="93"/>
      <c r="B492" s="95"/>
      <c r="C492" s="96"/>
      <c r="D492" s="102"/>
      <c r="E492" s="96"/>
      <c r="F492" s="98"/>
      <c r="G492" s="98"/>
      <c r="H492" s="99"/>
      <c r="I492" s="99"/>
      <c r="J492" s="99"/>
      <c r="K492" s="94"/>
    </row>
    <row r="493" spans="1:11" ht="36" customHeight="1" x14ac:dyDescent="0.25">
      <c r="A493" s="93"/>
      <c r="B493" s="95"/>
      <c r="C493" s="96"/>
      <c r="D493" s="102"/>
      <c r="E493" s="96"/>
      <c r="F493" s="98"/>
      <c r="G493" s="98"/>
      <c r="H493" s="99"/>
      <c r="I493" s="99"/>
      <c r="J493" s="99"/>
      <c r="K493" s="94"/>
    </row>
    <row r="494" spans="1:11" ht="15.75" x14ac:dyDescent="0.25">
      <c r="A494" s="93"/>
      <c r="B494" s="95"/>
      <c r="C494" s="96"/>
      <c r="D494" s="102"/>
      <c r="E494" s="96"/>
      <c r="F494" s="98"/>
      <c r="G494" s="98"/>
      <c r="H494" s="99"/>
      <c r="I494" s="99"/>
      <c r="J494" s="99"/>
      <c r="K494" s="94"/>
    </row>
    <row r="495" spans="1:11" ht="23.25" customHeight="1" x14ac:dyDescent="0.25">
      <c r="A495" s="93"/>
      <c r="B495" s="95"/>
      <c r="C495" s="96"/>
      <c r="D495" s="102"/>
      <c r="E495" s="96"/>
      <c r="F495" s="98"/>
      <c r="G495" s="98"/>
      <c r="H495" s="99"/>
      <c r="I495" s="99"/>
      <c r="J495" s="99"/>
      <c r="K495" s="94"/>
    </row>
    <row r="496" spans="1:11" ht="23.25" customHeight="1" x14ac:dyDescent="0.25">
      <c r="A496" s="92"/>
      <c r="B496" s="95"/>
      <c r="C496" s="96"/>
      <c r="D496" s="102"/>
      <c r="E496" s="96"/>
      <c r="F496" s="98"/>
      <c r="G496" s="98"/>
      <c r="H496" s="99"/>
      <c r="I496" s="99"/>
      <c r="J496" s="99"/>
      <c r="K496" s="94"/>
    </row>
    <row r="497" spans="1:11" ht="23.25" customHeight="1" x14ac:dyDescent="0.25">
      <c r="A497" s="92"/>
      <c r="B497" s="104"/>
      <c r="C497" s="104"/>
      <c r="D497" s="104"/>
      <c r="E497" s="104"/>
      <c r="F497" s="105"/>
      <c r="G497" s="105"/>
      <c r="H497" s="106"/>
      <c r="I497" s="106"/>
      <c r="J497" s="106"/>
      <c r="K497" s="94"/>
    </row>
    <row r="498" spans="1:11" ht="23.25" customHeight="1" x14ac:dyDescent="0.25">
      <c r="A498" s="92"/>
      <c r="B498" s="104"/>
      <c r="C498" s="104"/>
      <c r="D498" s="104"/>
      <c r="E498" s="104"/>
      <c r="F498" s="105"/>
      <c r="G498" s="105"/>
      <c r="H498" s="106"/>
      <c r="I498" s="106"/>
      <c r="J498" s="106"/>
      <c r="K498" s="94"/>
    </row>
    <row r="499" spans="1:11" ht="23.25" customHeight="1" x14ac:dyDescent="0.25">
      <c r="A499" s="92"/>
      <c r="B499" s="104"/>
      <c r="C499" s="104"/>
      <c r="D499" s="104"/>
      <c r="E499" s="104"/>
      <c r="F499" s="105"/>
      <c r="G499" s="105"/>
      <c r="H499" s="106"/>
      <c r="I499" s="106"/>
      <c r="J499" s="106"/>
      <c r="K499" s="94"/>
    </row>
    <row r="500" spans="1:11" ht="33.75" customHeight="1" x14ac:dyDescent="0.25">
      <c r="A500" s="92"/>
      <c r="B500" s="104"/>
      <c r="C500" s="104"/>
      <c r="D500" s="104"/>
      <c r="E500" s="104"/>
      <c r="F500" s="105"/>
      <c r="G500" s="105"/>
      <c r="H500" s="106"/>
      <c r="I500" s="106"/>
      <c r="J500" s="106"/>
      <c r="K500" s="94"/>
    </row>
    <row r="501" spans="1:11" ht="35.25" customHeight="1" x14ac:dyDescent="0.25">
      <c r="A501" s="92"/>
      <c r="B501" s="104"/>
      <c r="C501" s="104"/>
      <c r="D501" s="104"/>
      <c r="E501" s="104"/>
      <c r="F501" s="105"/>
      <c r="G501" s="105"/>
      <c r="H501" s="106"/>
      <c r="I501" s="106"/>
      <c r="J501" s="106"/>
      <c r="K501" s="94"/>
    </row>
    <row r="502" spans="1:11" ht="35.25" customHeight="1" x14ac:dyDescent="0.25">
      <c r="A502" s="92"/>
      <c r="B502" s="104"/>
      <c r="C502" s="104"/>
      <c r="D502" s="104"/>
      <c r="E502" s="104"/>
      <c r="F502" s="105"/>
      <c r="G502" s="105"/>
      <c r="H502" s="106"/>
      <c r="I502" s="106"/>
      <c r="J502" s="106"/>
      <c r="K502" s="94"/>
    </row>
    <row r="503" spans="1:11" ht="23.25" customHeight="1" x14ac:dyDescent="0.25">
      <c r="A503" s="92"/>
      <c r="B503" s="104"/>
      <c r="C503" s="104"/>
      <c r="D503" s="104"/>
      <c r="E503" s="104"/>
      <c r="F503" s="105"/>
      <c r="G503" s="105"/>
      <c r="H503" s="106"/>
      <c r="I503" s="106"/>
      <c r="J503" s="106"/>
      <c r="K503" s="94"/>
    </row>
    <row r="504" spans="1:11" ht="23.25" customHeight="1" x14ac:dyDescent="0.25">
      <c r="A504" s="92"/>
      <c r="B504" s="104"/>
      <c r="C504" s="104"/>
      <c r="D504" s="104"/>
      <c r="E504" s="104"/>
      <c r="F504" s="105"/>
      <c r="G504" s="105"/>
      <c r="H504" s="106"/>
      <c r="I504" s="106"/>
      <c r="J504" s="106"/>
      <c r="K504" s="94"/>
    </row>
    <row r="505" spans="1:11" ht="23.25" customHeight="1" x14ac:dyDescent="0.25">
      <c r="A505" s="92"/>
      <c r="B505" s="104"/>
      <c r="C505" s="104"/>
      <c r="D505" s="104"/>
      <c r="E505" s="104"/>
      <c r="F505" s="105"/>
      <c r="G505" s="105"/>
      <c r="H505" s="106"/>
      <c r="I505" s="106"/>
      <c r="J505" s="106"/>
      <c r="K505" s="94"/>
    </row>
    <row r="506" spans="1:11" ht="23.25" customHeight="1" x14ac:dyDescent="0.25">
      <c r="A506" s="92"/>
      <c r="B506" s="104"/>
      <c r="C506" s="104"/>
      <c r="D506" s="104"/>
      <c r="E506" s="104"/>
      <c r="F506" s="105"/>
      <c r="G506" s="105"/>
      <c r="H506" s="106"/>
      <c r="I506" s="106"/>
      <c r="J506" s="106"/>
      <c r="K506" s="94"/>
    </row>
    <row r="507" spans="1:11" ht="23.25" customHeight="1" x14ac:dyDescent="0.25">
      <c r="A507" s="92"/>
      <c r="B507" s="104"/>
      <c r="C507" s="104"/>
      <c r="D507" s="104"/>
      <c r="E507" s="104"/>
      <c r="F507" s="105"/>
      <c r="G507" s="105"/>
      <c r="H507" s="106"/>
      <c r="I507" s="106"/>
      <c r="J507" s="106"/>
      <c r="K507" s="94"/>
    </row>
    <row r="508" spans="1:11" ht="23.25" customHeight="1" x14ac:dyDescent="0.25">
      <c r="A508" s="92"/>
      <c r="B508" s="104"/>
      <c r="C508" s="104"/>
      <c r="D508" s="104"/>
      <c r="E508" s="104"/>
      <c r="F508" s="105"/>
      <c r="G508" s="105"/>
      <c r="H508" s="106"/>
      <c r="I508" s="106"/>
      <c r="J508" s="106"/>
      <c r="K508" s="94"/>
    </row>
    <row r="509" spans="1:11" ht="23.25" customHeight="1" x14ac:dyDescent="0.25">
      <c r="A509" s="92"/>
      <c r="B509" s="104"/>
      <c r="C509" s="104"/>
      <c r="D509" s="104"/>
      <c r="E509" s="104"/>
      <c r="F509" s="105"/>
      <c r="G509" s="105"/>
      <c r="H509" s="106"/>
      <c r="I509" s="106"/>
      <c r="J509" s="106"/>
      <c r="K509" s="94"/>
    </row>
    <row r="510" spans="1:11" ht="23.25" customHeight="1" x14ac:dyDescent="0.25">
      <c r="A510" s="92"/>
      <c r="B510" s="104"/>
      <c r="C510" s="104"/>
      <c r="D510" s="104"/>
      <c r="E510" s="104"/>
      <c r="F510" s="105"/>
      <c r="G510" s="105"/>
      <c r="H510" s="106"/>
      <c r="I510" s="106"/>
      <c r="J510" s="106"/>
      <c r="K510" s="94"/>
    </row>
    <row r="511" spans="1:11" ht="23.25" customHeight="1" x14ac:dyDescent="0.25">
      <c r="A511" s="92"/>
      <c r="B511" s="104"/>
      <c r="C511" s="104"/>
      <c r="D511" s="104"/>
      <c r="E511" s="104"/>
      <c r="F511" s="105"/>
      <c r="G511" s="105"/>
      <c r="H511" s="106"/>
      <c r="I511" s="106"/>
      <c r="J511" s="106"/>
      <c r="K511" s="94"/>
    </row>
    <row r="512" spans="1:11" ht="23.25" customHeight="1" x14ac:dyDescent="0.25">
      <c r="A512" s="92"/>
      <c r="B512" s="104"/>
      <c r="C512" s="104"/>
      <c r="D512" s="104"/>
      <c r="E512" s="104"/>
      <c r="F512" s="105"/>
      <c r="G512" s="105"/>
      <c r="H512" s="106"/>
      <c r="I512" s="106"/>
      <c r="J512" s="106"/>
      <c r="K512" s="94"/>
    </row>
    <row r="513" spans="1:11" ht="23.25" customHeight="1" x14ac:dyDescent="0.25">
      <c r="A513" s="92"/>
      <c r="B513" s="104"/>
      <c r="C513" s="104"/>
      <c r="D513" s="104"/>
      <c r="E513" s="104"/>
      <c r="F513" s="105"/>
      <c r="G513" s="105"/>
      <c r="H513" s="106"/>
      <c r="I513" s="106"/>
      <c r="J513" s="106"/>
      <c r="K513" s="94"/>
    </row>
    <row r="514" spans="1:11" ht="23.25" customHeight="1" x14ac:dyDescent="0.25">
      <c r="A514" s="92"/>
      <c r="B514" s="104"/>
      <c r="C514" s="104"/>
      <c r="D514" s="104"/>
      <c r="E514" s="104"/>
      <c r="F514" s="105"/>
      <c r="G514" s="105"/>
      <c r="H514" s="106"/>
      <c r="I514" s="106"/>
      <c r="J514" s="106"/>
      <c r="K514" s="94"/>
    </row>
    <row r="515" spans="1:11" ht="23.25" customHeight="1" x14ac:dyDescent="0.25">
      <c r="A515" s="92"/>
      <c r="B515" s="104"/>
      <c r="C515" s="104"/>
      <c r="D515" s="104"/>
      <c r="E515" s="104"/>
      <c r="F515" s="105"/>
      <c r="G515" s="105"/>
      <c r="H515" s="106"/>
      <c r="I515" s="106"/>
      <c r="J515" s="106"/>
      <c r="K515" s="94"/>
    </row>
    <row r="516" spans="1:11" ht="23.25" customHeight="1" x14ac:dyDescent="0.25">
      <c r="A516" s="92"/>
      <c r="B516" s="104"/>
      <c r="C516" s="104"/>
      <c r="D516" s="104"/>
      <c r="E516" s="104"/>
      <c r="F516" s="105"/>
      <c r="G516" s="105"/>
      <c r="H516" s="106"/>
      <c r="I516" s="106"/>
      <c r="J516" s="106"/>
      <c r="K516" s="94"/>
    </row>
    <row r="517" spans="1:11" ht="23.25" customHeight="1" x14ac:dyDescent="0.25">
      <c r="A517" s="92"/>
      <c r="B517" s="104"/>
      <c r="C517" s="104"/>
      <c r="D517" s="104"/>
      <c r="E517" s="104"/>
      <c r="F517" s="105"/>
      <c r="G517" s="105"/>
      <c r="H517" s="106"/>
      <c r="I517" s="106"/>
      <c r="J517" s="106"/>
      <c r="K517" s="94"/>
    </row>
    <row r="518" spans="1:11" ht="23.25" customHeight="1" x14ac:dyDescent="0.25">
      <c r="A518" s="92"/>
      <c r="B518" s="104"/>
      <c r="C518" s="104"/>
      <c r="D518" s="104"/>
      <c r="E518" s="104"/>
      <c r="F518" s="105"/>
      <c r="G518" s="105"/>
      <c r="H518" s="106"/>
      <c r="I518" s="106"/>
      <c r="J518" s="106"/>
      <c r="K518" s="94"/>
    </row>
    <row r="519" spans="1:11" ht="23.25" customHeight="1" x14ac:dyDescent="0.25">
      <c r="A519" s="92"/>
      <c r="B519" s="104"/>
      <c r="C519" s="104"/>
      <c r="D519" s="104"/>
      <c r="E519" s="104"/>
      <c r="F519" s="105"/>
      <c r="G519" s="105"/>
      <c r="H519" s="106"/>
      <c r="I519" s="106"/>
      <c r="J519" s="106"/>
      <c r="K519" s="94"/>
    </row>
    <row r="520" spans="1:11" ht="23.25" customHeight="1" x14ac:dyDescent="0.25">
      <c r="A520" s="92"/>
      <c r="B520" s="104"/>
      <c r="C520" s="104"/>
      <c r="D520" s="104"/>
      <c r="E520" s="104"/>
      <c r="F520" s="105"/>
      <c r="G520" s="105"/>
      <c r="H520" s="106"/>
      <c r="I520" s="106"/>
      <c r="J520" s="106"/>
      <c r="K520" s="94"/>
    </row>
    <row r="521" spans="1:11" ht="23.25" customHeight="1" x14ac:dyDescent="0.25">
      <c r="A521" s="92"/>
      <c r="B521" s="104"/>
      <c r="C521" s="104"/>
      <c r="D521" s="104"/>
      <c r="E521" s="104"/>
      <c r="F521" s="105"/>
      <c r="G521" s="105"/>
      <c r="H521" s="106"/>
      <c r="I521" s="106"/>
      <c r="J521" s="106"/>
      <c r="K521" s="94"/>
    </row>
    <row r="522" spans="1:11" ht="23.25" customHeight="1" x14ac:dyDescent="0.25">
      <c r="A522" s="92"/>
      <c r="B522" s="104"/>
      <c r="C522" s="104"/>
      <c r="D522" s="104"/>
      <c r="E522" s="104"/>
      <c r="F522" s="105"/>
      <c r="G522" s="105"/>
      <c r="H522" s="106"/>
      <c r="I522" s="106"/>
      <c r="J522" s="106"/>
      <c r="K522" s="94"/>
    </row>
    <row r="523" spans="1:11" ht="23.25" customHeight="1" x14ac:dyDescent="0.25">
      <c r="A523" s="92"/>
      <c r="B523" s="104"/>
      <c r="C523" s="104"/>
      <c r="D523" s="92"/>
      <c r="E523" s="104"/>
      <c r="F523" s="105"/>
      <c r="G523" s="105"/>
      <c r="H523" s="106"/>
      <c r="I523" s="106"/>
      <c r="J523" s="106"/>
      <c r="K523" s="94"/>
    </row>
    <row r="524" spans="1:11" ht="23.25" customHeight="1" x14ac:dyDescent="0.25">
      <c r="A524" s="92"/>
      <c r="B524" s="104"/>
      <c r="C524" s="104"/>
      <c r="D524" s="92"/>
      <c r="E524" s="104"/>
      <c r="F524" s="105"/>
      <c r="G524" s="105"/>
      <c r="H524" s="106"/>
      <c r="I524" s="106"/>
      <c r="J524" s="106"/>
      <c r="K524" s="94"/>
    </row>
    <row r="525" spans="1:11" ht="23.25" customHeight="1" x14ac:dyDescent="0.25">
      <c r="A525" s="92"/>
      <c r="B525" s="104"/>
      <c r="C525" s="104"/>
      <c r="D525" s="92"/>
      <c r="E525" s="104"/>
      <c r="F525" s="105"/>
      <c r="G525" s="105"/>
      <c r="H525" s="106"/>
      <c r="I525" s="106"/>
      <c r="J525" s="106"/>
      <c r="K525" s="94"/>
    </row>
    <row r="526" spans="1:11" ht="23.25" customHeight="1" x14ac:dyDescent="0.25">
      <c r="A526" s="92"/>
      <c r="B526" s="104"/>
      <c r="C526" s="104"/>
      <c r="D526" s="92"/>
      <c r="E526" s="104"/>
      <c r="F526" s="105"/>
      <c r="G526" s="105"/>
      <c r="H526" s="106"/>
      <c r="I526" s="106"/>
      <c r="J526" s="106"/>
      <c r="K526" s="94"/>
    </row>
    <row r="527" spans="1:11" ht="23.25" customHeight="1" x14ac:dyDescent="0.25">
      <c r="A527" s="92"/>
      <c r="B527" s="104"/>
      <c r="C527" s="104"/>
      <c r="D527" s="92"/>
      <c r="E527" s="104"/>
      <c r="F527" s="105"/>
      <c r="G527" s="105"/>
      <c r="H527" s="106"/>
      <c r="I527" s="106"/>
      <c r="J527" s="106"/>
      <c r="K527" s="94"/>
    </row>
    <row r="528" spans="1:11" ht="23.25" customHeight="1" x14ac:dyDescent="0.25">
      <c r="A528" s="92"/>
      <c r="B528" s="104"/>
      <c r="C528" s="104"/>
      <c r="D528" s="92"/>
      <c r="E528" s="104"/>
      <c r="F528" s="105"/>
      <c r="G528" s="105"/>
      <c r="H528" s="106"/>
      <c r="I528" s="106"/>
      <c r="J528" s="106"/>
      <c r="K528" s="94"/>
    </row>
    <row r="529" spans="1:11" ht="23.25" customHeight="1" x14ac:dyDescent="0.25">
      <c r="A529" s="92"/>
      <c r="B529" s="104"/>
      <c r="C529" s="104"/>
      <c r="D529" s="92"/>
      <c r="E529" s="104"/>
      <c r="F529" s="105"/>
      <c r="G529" s="105"/>
      <c r="H529" s="106"/>
      <c r="I529" s="106"/>
      <c r="J529" s="106"/>
      <c r="K529" s="94"/>
    </row>
    <row r="530" spans="1:11" ht="23.25" customHeight="1" x14ac:dyDescent="0.25">
      <c r="A530" s="92"/>
      <c r="B530" s="104"/>
      <c r="C530" s="104"/>
      <c r="D530" s="92"/>
      <c r="E530" s="104"/>
      <c r="F530" s="105"/>
      <c r="G530" s="105"/>
      <c r="H530" s="106"/>
      <c r="I530" s="106"/>
      <c r="J530" s="106"/>
      <c r="K530" s="94"/>
    </row>
    <row r="531" spans="1:11" ht="23.25" customHeight="1" x14ac:dyDescent="0.25">
      <c r="A531" s="92"/>
      <c r="B531" s="104"/>
      <c r="C531" s="104"/>
      <c r="D531" s="92"/>
      <c r="E531" s="104"/>
      <c r="F531" s="105"/>
      <c r="G531" s="105"/>
      <c r="H531" s="106"/>
      <c r="I531" s="106"/>
      <c r="J531" s="106"/>
      <c r="K531" s="94"/>
    </row>
    <row r="532" spans="1:11" ht="23.25" customHeight="1" x14ac:dyDescent="0.25">
      <c r="A532" s="92"/>
      <c r="B532" s="104"/>
      <c r="C532" s="104"/>
      <c r="D532" s="92"/>
      <c r="E532" s="104"/>
      <c r="F532" s="105"/>
      <c r="G532" s="105"/>
      <c r="H532" s="106"/>
      <c r="I532" s="106"/>
      <c r="J532" s="106"/>
      <c r="K532" s="94"/>
    </row>
    <row r="533" spans="1:11" ht="23.25" customHeight="1" x14ac:dyDescent="0.25">
      <c r="A533" s="92"/>
      <c r="B533" s="104"/>
      <c r="C533" s="104"/>
      <c r="D533" s="92"/>
      <c r="E533" s="104"/>
      <c r="F533" s="105"/>
      <c r="G533" s="105"/>
      <c r="H533" s="106"/>
      <c r="I533" s="106"/>
      <c r="J533" s="106"/>
      <c r="K533" s="94"/>
    </row>
    <row r="534" spans="1:11" ht="23.25" customHeight="1" x14ac:dyDescent="0.25">
      <c r="A534" s="92"/>
      <c r="B534" s="104"/>
      <c r="C534" s="104"/>
      <c r="D534" s="92"/>
      <c r="E534" s="104"/>
      <c r="F534" s="105"/>
      <c r="G534" s="105"/>
      <c r="H534" s="106"/>
      <c r="I534" s="106"/>
      <c r="J534" s="106"/>
      <c r="K534" s="94"/>
    </row>
    <row r="535" spans="1:11" ht="23.25" customHeight="1" x14ac:dyDescent="0.25">
      <c r="A535" s="92"/>
      <c r="B535" s="104"/>
      <c r="C535" s="104"/>
      <c r="D535" s="92"/>
      <c r="E535" s="104"/>
      <c r="F535" s="105"/>
      <c r="G535" s="105"/>
      <c r="H535" s="106"/>
      <c r="I535" s="106"/>
      <c r="J535" s="106"/>
      <c r="K535" s="94"/>
    </row>
    <row r="536" spans="1:11" ht="23.25" customHeight="1" x14ac:dyDescent="0.25">
      <c r="A536" s="92"/>
      <c r="B536" s="104"/>
      <c r="C536" s="104"/>
      <c r="D536" s="92"/>
      <c r="E536" s="104"/>
      <c r="F536" s="105"/>
      <c r="G536" s="105"/>
      <c r="H536" s="106"/>
      <c r="I536" s="106"/>
      <c r="J536" s="106"/>
      <c r="K536" s="94"/>
    </row>
    <row r="537" spans="1:11" ht="23.25" customHeight="1" x14ac:dyDescent="0.25">
      <c r="A537" s="92"/>
      <c r="B537" s="104"/>
      <c r="C537" s="104"/>
      <c r="D537" s="92"/>
      <c r="E537" s="104"/>
      <c r="F537" s="105"/>
      <c r="G537" s="105"/>
      <c r="H537" s="106"/>
      <c r="I537" s="106"/>
      <c r="J537" s="106"/>
      <c r="K537" s="94"/>
    </row>
    <row r="538" spans="1:11" ht="23.25" customHeight="1" x14ac:dyDescent="0.25">
      <c r="A538" s="92"/>
      <c r="B538" s="104"/>
      <c r="C538" s="104"/>
      <c r="D538" s="92"/>
      <c r="E538" s="104"/>
      <c r="F538" s="105"/>
      <c r="G538" s="105"/>
      <c r="H538" s="106"/>
      <c r="I538" s="106"/>
      <c r="J538" s="106"/>
      <c r="K538" s="94"/>
    </row>
    <row r="539" spans="1:11" ht="23.25" customHeight="1" x14ac:dyDescent="0.25">
      <c r="A539" s="92"/>
      <c r="B539" s="104"/>
      <c r="C539" s="104"/>
      <c r="D539" s="92"/>
      <c r="E539" s="104"/>
      <c r="F539" s="105"/>
      <c r="G539" s="105"/>
      <c r="H539" s="106"/>
      <c r="I539" s="106"/>
      <c r="J539" s="106"/>
      <c r="K539" s="94"/>
    </row>
    <row r="540" spans="1:11" ht="23.25" customHeight="1" x14ac:dyDescent="0.25">
      <c r="A540" s="92"/>
      <c r="B540" s="104"/>
      <c r="C540" s="104"/>
      <c r="D540" s="92"/>
      <c r="E540" s="104"/>
      <c r="F540" s="105"/>
      <c r="G540" s="105"/>
      <c r="H540" s="106"/>
      <c r="I540" s="106"/>
      <c r="J540" s="106"/>
      <c r="K540" s="94"/>
    </row>
    <row r="541" spans="1:11" ht="23.25" customHeight="1" x14ac:dyDescent="0.25">
      <c r="A541" s="92"/>
      <c r="B541" s="104"/>
      <c r="C541" s="104"/>
      <c r="D541" s="92"/>
      <c r="E541" s="104"/>
      <c r="F541" s="105"/>
      <c r="G541" s="105"/>
      <c r="H541" s="106"/>
      <c r="I541" s="106"/>
      <c r="J541" s="106"/>
      <c r="K541" s="94"/>
    </row>
    <row r="542" spans="1:11" ht="23.25" customHeight="1" x14ac:dyDescent="0.25">
      <c r="A542" s="92"/>
      <c r="B542" s="104"/>
      <c r="C542" s="104"/>
      <c r="D542" s="92"/>
      <c r="E542" s="104"/>
      <c r="F542" s="105"/>
      <c r="G542" s="105"/>
      <c r="H542" s="106"/>
      <c r="I542" s="106"/>
      <c r="J542" s="106"/>
      <c r="K542" s="94"/>
    </row>
    <row r="543" spans="1:11" ht="23.25" customHeight="1" x14ac:dyDescent="0.25">
      <c r="A543" s="92"/>
      <c r="B543" s="104"/>
      <c r="C543" s="104"/>
      <c r="D543" s="92"/>
      <c r="E543" s="104"/>
      <c r="F543" s="105"/>
      <c r="G543" s="105"/>
      <c r="H543" s="106"/>
      <c r="I543" s="106"/>
      <c r="J543" s="106"/>
      <c r="K543" s="94"/>
    </row>
    <row r="544" spans="1:11" ht="23.25" customHeight="1" x14ac:dyDescent="0.25">
      <c r="A544" s="92"/>
      <c r="B544" s="104"/>
      <c r="C544" s="104"/>
      <c r="D544" s="92"/>
      <c r="E544" s="104"/>
      <c r="F544" s="105"/>
      <c r="G544" s="105"/>
      <c r="H544" s="106"/>
      <c r="I544" s="106"/>
      <c r="J544" s="106"/>
      <c r="K544" s="94"/>
    </row>
    <row r="545" spans="1:11" ht="23.25" customHeight="1" x14ac:dyDescent="0.25">
      <c r="A545" s="92"/>
      <c r="B545" s="104"/>
      <c r="C545" s="104"/>
      <c r="D545" s="92"/>
      <c r="E545" s="104"/>
      <c r="F545" s="105"/>
      <c r="G545" s="105"/>
      <c r="H545" s="106"/>
      <c r="I545" s="106"/>
      <c r="J545" s="106"/>
      <c r="K545" s="94"/>
    </row>
    <row r="546" spans="1:11" ht="23.25" customHeight="1" x14ac:dyDescent="0.25">
      <c r="A546" s="92"/>
      <c r="B546" s="104"/>
      <c r="C546" s="104"/>
      <c r="D546" s="92"/>
      <c r="E546" s="104"/>
      <c r="F546" s="105"/>
      <c r="G546" s="105"/>
      <c r="H546" s="106"/>
      <c r="I546" s="106"/>
      <c r="J546" s="106"/>
      <c r="K546" s="94"/>
    </row>
    <row r="547" spans="1:11" ht="23.25" customHeight="1" x14ac:dyDescent="0.25">
      <c r="A547" s="92"/>
      <c r="B547" s="104"/>
      <c r="C547" s="104"/>
      <c r="D547" s="92"/>
      <c r="E547" s="104"/>
      <c r="F547" s="105"/>
      <c r="G547" s="105"/>
      <c r="H547" s="106"/>
      <c r="I547" s="106"/>
      <c r="J547" s="106"/>
      <c r="K547" s="94"/>
    </row>
    <row r="548" spans="1:11" ht="23.25" customHeight="1" x14ac:dyDescent="0.25">
      <c r="A548" s="92"/>
      <c r="B548" s="104"/>
      <c r="C548" s="104"/>
      <c r="D548" s="92"/>
      <c r="E548" s="104"/>
      <c r="F548" s="105"/>
      <c r="G548" s="105"/>
      <c r="H548" s="106"/>
      <c r="I548" s="106"/>
      <c r="J548" s="106"/>
      <c r="K548" s="94"/>
    </row>
    <row r="549" spans="1:11" ht="23.25" customHeight="1" x14ac:dyDescent="0.25">
      <c r="A549" s="92"/>
      <c r="B549" s="104"/>
      <c r="C549" s="104"/>
      <c r="D549" s="92"/>
      <c r="E549" s="104"/>
      <c r="F549" s="105"/>
      <c r="G549" s="105"/>
      <c r="H549" s="106"/>
      <c r="I549" s="106"/>
      <c r="J549" s="106"/>
      <c r="K549" s="94"/>
    </row>
    <row r="550" spans="1:11" ht="23.25" customHeight="1" x14ac:dyDescent="0.25">
      <c r="A550" s="92"/>
      <c r="B550" s="104"/>
      <c r="C550" s="104"/>
      <c r="D550" s="92"/>
      <c r="E550" s="104"/>
      <c r="F550" s="105"/>
      <c r="G550" s="105"/>
      <c r="H550" s="106"/>
      <c r="I550" s="106"/>
      <c r="J550" s="106"/>
      <c r="K550" s="94"/>
    </row>
    <row r="551" spans="1:11" ht="23.25" customHeight="1" x14ac:dyDescent="0.25">
      <c r="A551" s="92"/>
      <c r="B551" s="104"/>
      <c r="C551" s="104"/>
      <c r="D551" s="92"/>
      <c r="E551" s="104"/>
      <c r="F551" s="105"/>
      <c r="G551" s="105"/>
      <c r="H551" s="106"/>
      <c r="I551" s="106"/>
      <c r="J551" s="106"/>
      <c r="K551" s="94"/>
    </row>
    <row r="552" spans="1:11" ht="23.25" customHeight="1" x14ac:dyDescent="0.25">
      <c r="A552" s="92"/>
      <c r="B552" s="104"/>
      <c r="C552" s="104"/>
      <c r="D552" s="92"/>
      <c r="E552" s="104"/>
      <c r="F552" s="105"/>
      <c r="G552" s="105"/>
      <c r="H552" s="106"/>
      <c r="I552" s="106"/>
      <c r="J552" s="106"/>
      <c r="K552" s="94"/>
    </row>
    <row r="553" spans="1:11" ht="23.25" customHeight="1" x14ac:dyDescent="0.25">
      <c r="A553" s="92"/>
      <c r="B553" s="104"/>
      <c r="C553" s="104"/>
      <c r="D553" s="92"/>
      <c r="E553" s="104"/>
      <c r="F553" s="105"/>
      <c r="G553" s="105"/>
      <c r="H553" s="106"/>
      <c r="I553" s="106"/>
      <c r="J553" s="106"/>
      <c r="K553" s="94"/>
    </row>
    <row r="554" spans="1:11" ht="23.25" customHeight="1" x14ac:dyDescent="0.25">
      <c r="A554" s="92"/>
      <c r="B554" s="104"/>
      <c r="C554" s="104"/>
      <c r="D554" s="92"/>
      <c r="E554" s="104"/>
      <c r="F554" s="105"/>
      <c r="G554" s="105"/>
      <c r="H554" s="106"/>
      <c r="I554" s="106"/>
      <c r="J554" s="106"/>
      <c r="K554" s="94"/>
    </row>
    <row r="555" spans="1:11" ht="23.25" customHeight="1" x14ac:dyDescent="0.25">
      <c r="A555" s="92"/>
      <c r="B555" s="104"/>
      <c r="C555" s="104"/>
      <c r="D555" s="92"/>
      <c r="E555" s="104"/>
      <c r="F555" s="105"/>
      <c r="G555" s="105"/>
      <c r="H555" s="106"/>
      <c r="I555" s="106"/>
      <c r="J555" s="106"/>
      <c r="K555" s="94"/>
    </row>
    <row r="556" spans="1:11" ht="23.25" customHeight="1" x14ac:dyDescent="0.25">
      <c r="A556" s="92"/>
      <c r="B556" s="104"/>
      <c r="C556" s="104"/>
      <c r="D556" s="92"/>
      <c r="E556" s="104"/>
      <c r="F556" s="105"/>
      <c r="G556" s="105"/>
      <c r="H556" s="106"/>
      <c r="I556" s="106"/>
      <c r="J556" s="106"/>
      <c r="K556" s="94"/>
    </row>
    <row r="557" spans="1:11" ht="23.25" customHeight="1" x14ac:dyDescent="0.25">
      <c r="A557" s="92"/>
      <c r="B557" s="104"/>
      <c r="C557" s="104"/>
      <c r="D557" s="92"/>
      <c r="E557" s="104"/>
      <c r="F557" s="105"/>
      <c r="G557" s="105"/>
      <c r="H557" s="106"/>
      <c r="I557" s="106"/>
      <c r="J557" s="106"/>
      <c r="K557" s="94"/>
    </row>
    <row r="558" spans="1:11" ht="23.25" customHeight="1" x14ac:dyDescent="0.25">
      <c r="A558" s="92"/>
      <c r="C558" s="104"/>
      <c r="D558" s="92"/>
      <c r="E558" s="104"/>
      <c r="F558" s="105"/>
      <c r="G558" s="105"/>
      <c r="H558" s="106"/>
      <c r="I558" s="106"/>
      <c r="J558" s="106"/>
      <c r="K558" s="94"/>
    </row>
    <row r="559" spans="1:11" ht="23.25" customHeight="1" x14ac:dyDescent="0.25">
      <c r="A559" s="92"/>
      <c r="C559" s="104"/>
      <c r="D559" s="92"/>
      <c r="E559" s="104"/>
      <c r="F559" s="105"/>
      <c r="G559" s="105"/>
      <c r="H559" s="106"/>
      <c r="I559" s="106"/>
      <c r="J559" s="106"/>
      <c r="K559" s="94"/>
    </row>
    <row r="560" spans="1:11" ht="23.25" customHeight="1" x14ac:dyDescent="0.25">
      <c r="A560" s="92"/>
      <c r="C560" s="104"/>
      <c r="D560" s="92"/>
      <c r="E560" s="104"/>
      <c r="F560" s="105"/>
      <c r="G560" s="105"/>
      <c r="H560" s="106"/>
      <c r="I560" s="106"/>
      <c r="J560" s="106"/>
      <c r="K560" s="94"/>
    </row>
    <row r="561" spans="1:11" ht="23.25" customHeight="1" x14ac:dyDescent="0.25">
      <c r="A561" s="92"/>
      <c r="C561" s="104"/>
      <c r="D561" s="92"/>
      <c r="E561" s="104"/>
      <c r="F561" s="105"/>
      <c r="G561" s="105"/>
      <c r="H561" s="106"/>
      <c r="I561" s="106"/>
      <c r="J561" s="106"/>
      <c r="K561" s="94"/>
    </row>
    <row r="562" spans="1:11" ht="23.25" customHeight="1" x14ac:dyDescent="0.25">
      <c r="A562" s="92"/>
      <c r="C562" s="104"/>
      <c r="D562" s="92"/>
      <c r="E562" s="104"/>
      <c r="F562" s="105"/>
      <c r="G562" s="105"/>
      <c r="H562" s="106"/>
      <c r="I562" s="106"/>
      <c r="J562" s="106"/>
      <c r="K562" s="94"/>
    </row>
    <row r="563" spans="1:11" ht="23.25" customHeight="1" x14ac:dyDescent="0.25">
      <c r="A563" s="92"/>
      <c r="C563" s="104"/>
      <c r="D563" s="92"/>
      <c r="E563" s="104"/>
      <c r="F563" s="105"/>
      <c r="G563" s="105"/>
      <c r="H563" s="106"/>
      <c r="I563" s="106"/>
      <c r="J563" s="106"/>
      <c r="K563" s="94"/>
    </row>
    <row r="564" spans="1:11" ht="23.25" customHeight="1" x14ac:dyDescent="0.25">
      <c r="A564" s="92"/>
      <c r="C564" s="104"/>
      <c r="D564" s="92"/>
      <c r="E564" s="104"/>
      <c r="F564" s="105"/>
      <c r="G564" s="105"/>
      <c r="H564" s="106"/>
      <c r="I564" s="106"/>
      <c r="J564" s="106"/>
      <c r="K564" s="94"/>
    </row>
    <row r="565" spans="1:11" ht="23.25" customHeight="1" x14ac:dyDescent="0.25">
      <c r="A565" s="92"/>
      <c r="C565" s="104"/>
      <c r="D565" s="92"/>
      <c r="E565" s="104"/>
      <c r="F565" s="105"/>
      <c r="G565" s="105"/>
      <c r="H565" s="106"/>
      <c r="I565" s="106"/>
      <c r="J565" s="106"/>
      <c r="K565" s="94"/>
    </row>
    <row r="566" spans="1:11" ht="23.25" customHeight="1" x14ac:dyDescent="0.25">
      <c r="A566" s="92"/>
      <c r="C566" s="104"/>
      <c r="D566" s="92"/>
      <c r="E566" s="104"/>
      <c r="F566" s="105"/>
      <c r="G566" s="105"/>
      <c r="H566" s="106"/>
      <c r="I566" s="106"/>
      <c r="J566" s="106"/>
      <c r="K566" s="94"/>
    </row>
    <row r="567" spans="1:11" ht="23.25" customHeight="1" x14ac:dyDescent="0.25">
      <c r="A567" s="92"/>
      <c r="C567" s="104"/>
      <c r="D567" s="92"/>
      <c r="E567" s="104"/>
      <c r="F567" s="105"/>
      <c r="G567" s="105"/>
      <c r="H567" s="106"/>
      <c r="I567" s="106"/>
      <c r="J567" s="106"/>
      <c r="K567" s="94"/>
    </row>
    <row r="568" spans="1:11" ht="23.25" customHeight="1" x14ac:dyDescent="0.25">
      <c r="A568" s="92"/>
      <c r="C568" s="104"/>
      <c r="D568" s="92"/>
      <c r="E568" s="104"/>
      <c r="F568" s="105"/>
      <c r="G568" s="105"/>
      <c r="H568" s="106"/>
      <c r="I568" s="106"/>
      <c r="J568" s="106"/>
      <c r="K568" s="94"/>
    </row>
    <row r="569" spans="1:11" ht="23.25" customHeight="1" x14ac:dyDescent="0.25">
      <c r="A569" s="92"/>
      <c r="C569" s="104"/>
      <c r="D569" s="92"/>
      <c r="E569" s="104"/>
      <c r="F569" s="105"/>
      <c r="G569" s="105"/>
      <c r="H569" s="106"/>
      <c r="I569" s="106"/>
      <c r="J569" s="106"/>
      <c r="K569" s="94"/>
    </row>
    <row r="570" spans="1:11" ht="23.25" customHeight="1" x14ac:dyDescent="0.25">
      <c r="A570" s="92"/>
      <c r="C570" s="104"/>
      <c r="D570" s="92"/>
      <c r="E570" s="104"/>
      <c r="F570" s="105"/>
      <c r="G570" s="105"/>
      <c r="H570" s="106"/>
      <c r="I570" s="106"/>
      <c r="J570" s="106"/>
      <c r="K570" s="94"/>
    </row>
    <row r="571" spans="1:11" ht="23.25" customHeight="1" x14ac:dyDescent="0.25">
      <c r="A571" s="92"/>
      <c r="C571" s="104"/>
      <c r="D571" s="92"/>
      <c r="E571" s="104"/>
      <c r="F571" s="105"/>
      <c r="G571" s="105"/>
      <c r="H571" s="106"/>
      <c r="I571" s="106"/>
      <c r="J571" s="106"/>
      <c r="K571" s="94"/>
    </row>
    <row r="572" spans="1:11" ht="23.25" customHeight="1" x14ac:dyDescent="0.25">
      <c r="A572" s="92"/>
      <c r="C572" s="104"/>
      <c r="D572" s="92"/>
      <c r="E572" s="104"/>
      <c r="F572" s="105"/>
      <c r="G572" s="105"/>
      <c r="H572" s="106"/>
      <c r="I572" s="106"/>
      <c r="J572" s="106"/>
      <c r="K572" s="94"/>
    </row>
    <row r="573" spans="1:11" ht="23.25" customHeight="1" x14ac:dyDescent="0.25">
      <c r="A573" s="92"/>
      <c r="C573" s="104"/>
      <c r="D573" s="92"/>
      <c r="E573" s="104"/>
      <c r="F573" s="105"/>
      <c r="G573" s="105"/>
      <c r="H573" s="106"/>
      <c r="I573" s="106"/>
      <c r="J573" s="106"/>
      <c r="K573" s="94"/>
    </row>
    <row r="574" spans="1:11" ht="23.25" customHeight="1" x14ac:dyDescent="0.25">
      <c r="A574" s="92"/>
      <c r="C574" s="104"/>
      <c r="D574" s="92"/>
      <c r="E574" s="104"/>
      <c r="F574" s="105"/>
      <c r="G574" s="105"/>
      <c r="H574" s="106"/>
      <c r="I574" s="106"/>
      <c r="J574" s="106"/>
      <c r="K574" s="94"/>
    </row>
    <row r="575" spans="1:11" ht="23.25" customHeight="1" x14ac:dyDescent="0.25">
      <c r="A575" s="92"/>
      <c r="C575" s="104"/>
      <c r="D575" s="92"/>
      <c r="E575" s="104"/>
      <c r="F575" s="105"/>
      <c r="G575" s="105"/>
      <c r="H575" s="106"/>
      <c r="I575" s="106"/>
      <c r="J575" s="106"/>
      <c r="K575" s="94"/>
    </row>
    <row r="576" spans="1:11" ht="23.25" customHeight="1" x14ac:dyDescent="0.25">
      <c r="A576" s="92"/>
      <c r="C576" s="104"/>
      <c r="D576" s="92"/>
      <c r="E576" s="104"/>
      <c r="F576" s="105"/>
      <c r="G576" s="105"/>
      <c r="H576" s="106"/>
      <c r="I576" s="106"/>
      <c r="J576" s="106"/>
      <c r="K576" s="94"/>
    </row>
    <row r="577" spans="1:11" ht="23.25" customHeight="1" x14ac:dyDescent="0.25">
      <c r="A577" s="92"/>
      <c r="C577" s="104"/>
      <c r="D577" s="92"/>
      <c r="E577" s="104"/>
      <c r="F577" s="105"/>
      <c r="G577" s="105"/>
      <c r="H577" s="106"/>
      <c r="I577" s="106"/>
      <c r="J577" s="106"/>
      <c r="K577" s="94"/>
    </row>
    <row r="578" spans="1:11" ht="23.25" customHeight="1" x14ac:dyDescent="0.25">
      <c r="A578" s="92"/>
      <c r="C578" s="104"/>
      <c r="D578" s="92"/>
      <c r="E578" s="104"/>
      <c r="F578" s="105"/>
      <c r="G578" s="105"/>
      <c r="H578" s="106"/>
      <c r="I578" s="106"/>
      <c r="J578" s="106"/>
      <c r="K578" s="94"/>
    </row>
    <row r="579" spans="1:11" ht="23.25" customHeight="1" x14ac:dyDescent="0.25">
      <c r="A579" s="92"/>
      <c r="C579" s="104"/>
      <c r="D579" s="92"/>
      <c r="E579" s="104"/>
      <c r="F579" s="105"/>
      <c r="G579" s="105"/>
      <c r="H579" s="106"/>
      <c r="I579" s="106"/>
      <c r="J579" s="106"/>
      <c r="K579" s="94"/>
    </row>
    <row r="580" spans="1:11" ht="23.25" customHeight="1" x14ac:dyDescent="0.25">
      <c r="A580" s="92"/>
      <c r="C580" s="104"/>
      <c r="D580" s="92"/>
      <c r="E580" s="104"/>
      <c r="F580" s="105"/>
      <c r="G580" s="105"/>
      <c r="H580" s="106"/>
      <c r="I580" s="106"/>
      <c r="J580" s="106"/>
      <c r="K580" s="94"/>
    </row>
    <row r="581" spans="1:11" ht="23.25" customHeight="1" x14ac:dyDescent="0.25">
      <c r="A581" s="92"/>
      <c r="C581" s="104"/>
      <c r="D581" s="92"/>
      <c r="E581" s="104"/>
      <c r="F581" s="105"/>
      <c r="G581" s="105"/>
      <c r="H581" s="106"/>
      <c r="I581" s="106"/>
      <c r="J581" s="106"/>
      <c r="K581" s="94"/>
    </row>
    <row r="582" spans="1:11" ht="23.25" customHeight="1" x14ac:dyDescent="0.25">
      <c r="A582" s="92"/>
      <c r="C582" s="104"/>
      <c r="D582" s="92"/>
      <c r="E582" s="104"/>
      <c r="F582" s="105"/>
      <c r="G582" s="105"/>
      <c r="H582" s="106"/>
      <c r="I582" s="106"/>
      <c r="J582" s="106"/>
      <c r="K582" s="94"/>
    </row>
    <row r="583" spans="1:11" ht="23.25" customHeight="1" x14ac:dyDescent="0.25">
      <c r="A583" s="92"/>
      <c r="C583" s="104"/>
      <c r="D583" s="92"/>
      <c r="E583" s="104"/>
      <c r="F583" s="105"/>
      <c r="G583" s="105"/>
      <c r="H583" s="106"/>
      <c r="I583" s="106"/>
      <c r="J583" s="106"/>
      <c r="K583" s="94"/>
    </row>
    <row r="584" spans="1:11" ht="23.25" customHeight="1" x14ac:dyDescent="0.25">
      <c r="A584" s="92"/>
      <c r="C584" s="104"/>
      <c r="D584" s="92"/>
      <c r="E584" s="104"/>
      <c r="F584" s="105"/>
      <c r="G584" s="105"/>
      <c r="H584" s="106"/>
      <c r="I584" s="106"/>
      <c r="J584" s="106"/>
      <c r="K584" s="94"/>
    </row>
    <row r="585" spans="1:11" ht="23.25" customHeight="1" x14ac:dyDescent="0.25">
      <c r="A585" s="92"/>
      <c r="C585" s="104"/>
      <c r="D585" s="92"/>
      <c r="E585" s="104"/>
      <c r="F585" s="105"/>
      <c r="G585" s="105"/>
      <c r="H585" s="106"/>
      <c r="I585" s="106"/>
      <c r="J585" s="106"/>
      <c r="K585" s="94"/>
    </row>
    <row r="586" spans="1:11" ht="23.25" customHeight="1" x14ac:dyDescent="0.25">
      <c r="A586" s="92"/>
      <c r="C586" s="104"/>
      <c r="D586" s="92"/>
      <c r="E586" s="104"/>
      <c r="F586" s="105"/>
      <c r="G586" s="105"/>
      <c r="H586" s="106"/>
      <c r="I586" s="106"/>
      <c r="J586" s="106"/>
      <c r="K586" s="94"/>
    </row>
    <row r="587" spans="1:11" ht="23.25" customHeight="1" x14ac:dyDescent="0.25">
      <c r="A587" s="92"/>
      <c r="C587" s="104"/>
      <c r="D587" s="92"/>
      <c r="E587" s="104"/>
      <c r="F587" s="105"/>
      <c r="G587" s="105"/>
      <c r="H587" s="106"/>
      <c r="I587" s="106"/>
      <c r="J587" s="106"/>
      <c r="K587" s="94"/>
    </row>
    <row r="588" spans="1:11" ht="23.25" customHeight="1" x14ac:dyDescent="0.25">
      <c r="A588" s="92"/>
      <c r="C588" s="104"/>
      <c r="D588" s="92"/>
      <c r="E588" s="104"/>
      <c r="F588" s="105"/>
      <c r="G588" s="105"/>
      <c r="H588" s="106"/>
      <c r="I588" s="106"/>
      <c r="J588" s="106"/>
      <c r="K588" s="94"/>
    </row>
    <row r="589" spans="1:11" ht="23.25" customHeight="1" x14ac:dyDescent="0.25">
      <c r="A589" s="92"/>
      <c r="C589" s="104"/>
      <c r="D589" s="92"/>
      <c r="E589" s="104"/>
      <c r="F589" s="105"/>
      <c r="G589" s="105"/>
      <c r="H589" s="106"/>
      <c r="I589" s="106"/>
      <c r="J589" s="106"/>
      <c r="K589" s="94"/>
    </row>
    <row r="590" spans="1:11" ht="23.25" customHeight="1" x14ac:dyDescent="0.25">
      <c r="A590" s="92"/>
      <c r="C590" s="104"/>
      <c r="D590" s="92"/>
      <c r="E590" s="104"/>
      <c r="F590" s="105"/>
      <c r="G590" s="105"/>
      <c r="H590" s="106"/>
      <c r="I590" s="106"/>
      <c r="J590" s="106"/>
      <c r="K590" s="94"/>
    </row>
    <row r="591" spans="1:11" ht="23.25" customHeight="1" x14ac:dyDescent="0.25">
      <c r="A591" s="92"/>
      <c r="C591" s="104"/>
      <c r="D591" s="92"/>
      <c r="E591" s="104"/>
      <c r="F591" s="105"/>
      <c r="G591" s="105"/>
      <c r="H591" s="106"/>
      <c r="I591" s="106"/>
      <c r="J591" s="106"/>
      <c r="K591" s="94"/>
    </row>
    <row r="592" spans="1:11" ht="23.25" customHeight="1" x14ac:dyDescent="0.25">
      <c r="A592" s="92"/>
      <c r="C592" s="104"/>
      <c r="D592" s="92"/>
      <c r="E592" s="104"/>
      <c r="F592" s="105"/>
      <c r="G592" s="105"/>
      <c r="H592" s="106"/>
      <c r="I592" s="106"/>
      <c r="J592" s="106"/>
      <c r="K592" s="94"/>
    </row>
    <row r="593" spans="1:11" ht="23.25" customHeight="1" x14ac:dyDescent="0.25">
      <c r="A593" s="92"/>
      <c r="C593" s="104"/>
      <c r="D593" s="92"/>
      <c r="E593" s="104"/>
      <c r="F593" s="105"/>
      <c r="G593" s="105"/>
      <c r="H593" s="106"/>
      <c r="I593" s="106"/>
      <c r="J593" s="106"/>
      <c r="K593" s="94"/>
    </row>
    <row r="594" spans="1:11" ht="23.25" customHeight="1" x14ac:dyDescent="0.25">
      <c r="A594" s="92"/>
      <c r="C594" s="104"/>
      <c r="D594" s="92"/>
      <c r="E594" s="104"/>
      <c r="F594" s="105"/>
      <c r="G594" s="105"/>
      <c r="H594" s="106"/>
      <c r="I594" s="106"/>
      <c r="J594" s="106"/>
      <c r="K594" s="94"/>
    </row>
    <row r="595" spans="1:11" ht="23.25" customHeight="1" x14ac:dyDescent="0.25">
      <c r="A595" s="92"/>
      <c r="C595" s="104"/>
      <c r="D595" s="92"/>
      <c r="E595" s="104"/>
      <c r="F595" s="105"/>
      <c r="G595" s="105"/>
      <c r="H595" s="106"/>
      <c r="I595" s="106"/>
      <c r="J595" s="106"/>
      <c r="K595" s="94"/>
    </row>
    <row r="596" spans="1:11" ht="23.25" customHeight="1" x14ac:dyDescent="0.25">
      <c r="A596" s="92"/>
      <c r="C596" s="104"/>
      <c r="D596" s="92"/>
      <c r="E596" s="104"/>
      <c r="F596" s="105"/>
      <c r="G596" s="105"/>
      <c r="H596" s="106"/>
      <c r="I596" s="106"/>
      <c r="J596" s="106"/>
      <c r="K596" s="94"/>
    </row>
    <row r="597" spans="1:11" ht="23.25" customHeight="1" x14ac:dyDescent="0.25">
      <c r="A597" s="92"/>
      <c r="C597" s="104"/>
      <c r="D597" s="92"/>
      <c r="E597" s="104"/>
      <c r="F597" s="105"/>
      <c r="G597" s="105"/>
      <c r="H597" s="106"/>
      <c r="I597" s="106"/>
      <c r="J597" s="106"/>
      <c r="K597" s="94"/>
    </row>
    <row r="598" spans="1:11" ht="23.25" customHeight="1" x14ac:dyDescent="0.25">
      <c r="A598" s="92"/>
      <c r="C598" s="104"/>
      <c r="D598" s="92"/>
      <c r="E598" s="104"/>
      <c r="F598" s="105"/>
      <c r="G598" s="105"/>
      <c r="H598" s="106"/>
      <c r="I598" s="106"/>
      <c r="J598" s="106"/>
      <c r="K598" s="94"/>
    </row>
    <row r="599" spans="1:11" ht="23.25" customHeight="1" x14ac:dyDescent="0.25">
      <c r="A599" s="92"/>
      <c r="C599" s="104"/>
      <c r="D599" s="92"/>
      <c r="E599" s="104"/>
      <c r="F599" s="105"/>
      <c r="G599" s="105"/>
      <c r="H599" s="106"/>
      <c r="I599" s="106"/>
      <c r="J599" s="106"/>
      <c r="K599" s="94"/>
    </row>
    <row r="600" spans="1:11" ht="23.25" customHeight="1" x14ac:dyDescent="0.25">
      <c r="A600" s="92"/>
      <c r="C600" s="104"/>
      <c r="D600" s="92"/>
      <c r="E600" s="104"/>
      <c r="F600" s="105"/>
      <c r="G600" s="105"/>
      <c r="H600" s="106"/>
      <c r="I600" s="106"/>
      <c r="J600" s="106"/>
      <c r="K600" s="94"/>
    </row>
    <row r="601" spans="1:11" ht="23.25" customHeight="1" x14ac:dyDescent="0.25">
      <c r="A601" s="92"/>
      <c r="C601" s="104"/>
      <c r="D601" s="92"/>
      <c r="E601" s="104"/>
      <c r="F601" s="105"/>
      <c r="G601" s="105"/>
      <c r="H601" s="106"/>
      <c r="I601" s="106"/>
      <c r="J601" s="106"/>
      <c r="K601" s="94"/>
    </row>
    <row r="602" spans="1:11" ht="23.25" customHeight="1" x14ac:dyDescent="0.25">
      <c r="A602" s="92"/>
      <c r="C602" s="104"/>
      <c r="D602" s="92"/>
      <c r="E602" s="104"/>
      <c r="F602" s="105"/>
      <c r="G602" s="105"/>
      <c r="H602" s="106"/>
      <c r="I602" s="106"/>
      <c r="J602" s="106"/>
      <c r="K602" s="94"/>
    </row>
    <row r="603" spans="1:11" ht="23.25" customHeight="1" x14ac:dyDescent="0.25">
      <c r="A603" s="92"/>
      <c r="C603" s="104"/>
      <c r="D603" s="92"/>
      <c r="E603" s="104"/>
      <c r="F603" s="105"/>
      <c r="G603" s="105"/>
      <c r="H603" s="106"/>
      <c r="I603" s="106"/>
      <c r="J603" s="106"/>
      <c r="K603" s="94"/>
    </row>
    <row r="604" spans="1:11" ht="23.25" customHeight="1" x14ac:dyDescent="0.25">
      <c r="A604" s="92"/>
      <c r="C604" s="104"/>
      <c r="D604" s="92"/>
      <c r="E604" s="104"/>
      <c r="F604" s="105"/>
      <c r="G604" s="105"/>
      <c r="H604" s="106"/>
      <c r="I604" s="106"/>
      <c r="J604" s="106"/>
      <c r="K604" s="94"/>
    </row>
    <row r="605" spans="1:11" ht="23.25" customHeight="1" x14ac:dyDescent="0.25">
      <c r="A605" s="92"/>
      <c r="C605" s="104"/>
      <c r="D605" s="92"/>
      <c r="E605" s="104"/>
      <c r="F605" s="105"/>
      <c r="G605" s="105"/>
      <c r="H605" s="106"/>
      <c r="I605" s="106"/>
      <c r="J605" s="106"/>
      <c r="K605" s="94"/>
    </row>
    <row r="606" spans="1:11" ht="23.25" customHeight="1" x14ac:dyDescent="0.25">
      <c r="A606" s="92"/>
      <c r="C606" s="104"/>
      <c r="D606" s="92"/>
      <c r="E606" s="104"/>
      <c r="F606" s="105"/>
      <c r="G606" s="105"/>
      <c r="H606" s="106"/>
      <c r="I606" s="106"/>
      <c r="J606" s="106"/>
      <c r="K606" s="94"/>
    </row>
    <row r="607" spans="1:11" ht="23.25" customHeight="1" x14ac:dyDescent="0.25">
      <c r="A607" s="92"/>
      <c r="C607" s="104"/>
      <c r="D607" s="92"/>
      <c r="E607" s="104"/>
      <c r="F607" s="105"/>
      <c r="G607" s="105"/>
      <c r="H607" s="106"/>
      <c r="I607" s="106"/>
      <c r="J607" s="106"/>
      <c r="K607" s="94"/>
    </row>
    <row r="608" spans="1:11" ht="23.25" customHeight="1" x14ac:dyDescent="0.25">
      <c r="A608" s="92"/>
      <c r="C608" s="104"/>
      <c r="D608" s="92"/>
      <c r="E608" s="104"/>
      <c r="F608" s="105"/>
      <c r="G608" s="105"/>
      <c r="H608" s="106"/>
      <c r="I608" s="106"/>
      <c r="J608" s="106"/>
      <c r="K608" s="94"/>
    </row>
    <row r="609" spans="1:11" ht="23.25" customHeight="1" x14ac:dyDescent="0.25">
      <c r="A609" s="92"/>
      <c r="C609" s="104"/>
      <c r="D609" s="92"/>
      <c r="E609" s="104"/>
      <c r="F609" s="105"/>
      <c r="G609" s="105"/>
      <c r="H609" s="106"/>
      <c r="I609" s="106"/>
      <c r="J609" s="106"/>
      <c r="K609" s="94"/>
    </row>
    <row r="610" spans="1:11" ht="23.25" customHeight="1" x14ac:dyDescent="0.25">
      <c r="A610" s="92"/>
      <c r="C610" s="104"/>
      <c r="D610" s="92"/>
      <c r="E610" s="104"/>
      <c r="F610" s="105"/>
      <c r="G610" s="105"/>
      <c r="H610" s="106"/>
      <c r="I610" s="106"/>
      <c r="J610" s="106"/>
      <c r="K610" s="94"/>
    </row>
    <row r="611" spans="1:11" ht="23.25" customHeight="1" x14ac:dyDescent="0.25">
      <c r="A611" s="92"/>
      <c r="B611" s="92"/>
      <c r="C611" s="104"/>
      <c r="D611" s="92"/>
      <c r="E611" s="104"/>
      <c r="F611" s="105"/>
      <c r="G611" s="105"/>
      <c r="H611" s="106"/>
      <c r="I611" s="106"/>
      <c r="J611" s="106"/>
      <c r="K611" s="94"/>
    </row>
    <row r="612" spans="1:11" ht="23.25" customHeight="1" x14ac:dyDescent="0.25">
      <c r="A612" s="92"/>
      <c r="B612" s="92"/>
      <c r="C612" s="104"/>
      <c r="D612" s="92"/>
      <c r="E612" s="104"/>
      <c r="F612" s="105"/>
      <c r="G612" s="105"/>
      <c r="H612" s="106"/>
      <c r="I612" s="106"/>
      <c r="J612" s="106"/>
      <c r="K612" s="94"/>
    </row>
    <row r="613" spans="1:11" ht="23.25" customHeight="1" x14ac:dyDescent="0.25">
      <c r="A613" s="92"/>
      <c r="B613" s="92"/>
      <c r="C613" s="104"/>
      <c r="D613" s="92"/>
      <c r="E613" s="104"/>
      <c r="F613" s="105"/>
      <c r="G613" s="105"/>
      <c r="H613" s="106"/>
      <c r="I613" s="106"/>
      <c r="J613" s="106"/>
      <c r="K613" s="94"/>
    </row>
    <row r="614" spans="1:11" ht="23.25" customHeight="1" x14ac:dyDescent="0.25">
      <c r="A614" s="92"/>
      <c r="B614" s="92"/>
      <c r="C614" s="104"/>
      <c r="D614" s="92"/>
      <c r="E614" s="104"/>
      <c r="F614" s="105"/>
      <c r="G614" s="105"/>
      <c r="H614" s="106"/>
      <c r="I614" s="106"/>
      <c r="J614" s="106"/>
      <c r="K614" s="94"/>
    </row>
    <row r="615" spans="1:11" ht="23.25" customHeight="1" x14ac:dyDescent="0.25">
      <c r="A615" s="92"/>
      <c r="B615" s="92"/>
      <c r="C615" s="104"/>
      <c r="D615" s="92"/>
      <c r="E615" s="104"/>
      <c r="F615" s="105"/>
      <c r="G615" s="105"/>
      <c r="H615" s="106"/>
      <c r="I615" s="106"/>
      <c r="J615" s="106"/>
      <c r="K615" s="94"/>
    </row>
    <row r="616" spans="1:11" ht="23.25" customHeight="1" x14ac:dyDescent="0.25">
      <c r="A616" s="92"/>
      <c r="B616" s="92"/>
      <c r="C616" s="104"/>
      <c r="D616" s="92"/>
      <c r="E616" s="104"/>
      <c r="F616" s="105"/>
      <c r="G616" s="105"/>
      <c r="H616" s="106"/>
      <c r="I616" s="106"/>
      <c r="J616" s="106"/>
      <c r="K616" s="94"/>
    </row>
    <row r="617" spans="1:11" ht="23.25" customHeight="1" x14ac:dyDescent="0.25">
      <c r="A617" s="92"/>
      <c r="B617" s="92"/>
      <c r="C617" s="104"/>
      <c r="D617" s="92"/>
      <c r="E617" s="104"/>
      <c r="F617" s="105"/>
      <c r="G617" s="105"/>
      <c r="H617" s="106"/>
      <c r="I617" s="106"/>
      <c r="J617" s="106"/>
      <c r="K617" s="94"/>
    </row>
    <row r="618" spans="1:11" ht="23.25" customHeight="1" x14ac:dyDescent="0.25">
      <c r="A618" s="92"/>
      <c r="B618" s="92"/>
      <c r="C618" s="104"/>
      <c r="D618" s="92"/>
      <c r="E618" s="104"/>
      <c r="F618" s="105"/>
      <c r="G618" s="105"/>
      <c r="H618" s="106"/>
      <c r="I618" s="106"/>
      <c r="J618" s="106"/>
      <c r="K618" s="94"/>
    </row>
    <row r="619" spans="1:11" ht="23.25" customHeight="1" x14ac:dyDescent="0.25">
      <c r="A619" s="92"/>
      <c r="B619" s="92"/>
      <c r="C619" s="104"/>
      <c r="D619" s="92"/>
      <c r="E619" s="104"/>
      <c r="F619" s="105"/>
      <c r="G619" s="105"/>
      <c r="H619" s="106"/>
      <c r="I619" s="106"/>
      <c r="J619" s="106"/>
      <c r="K619" s="94"/>
    </row>
    <row r="620" spans="1:11" ht="23.25" customHeight="1" x14ac:dyDescent="0.25">
      <c r="A620" s="92"/>
      <c r="B620" s="92"/>
      <c r="C620" s="104"/>
      <c r="D620" s="92"/>
      <c r="E620" s="104"/>
      <c r="F620" s="105"/>
      <c r="G620" s="105"/>
      <c r="H620" s="106"/>
      <c r="I620" s="106"/>
      <c r="J620" s="106"/>
      <c r="K620" s="94"/>
    </row>
    <row r="621" spans="1:11" ht="23.25" customHeight="1" x14ac:dyDescent="0.25">
      <c r="A621" s="92"/>
      <c r="B621" s="92"/>
      <c r="C621" s="104"/>
      <c r="D621" s="92"/>
      <c r="E621" s="104"/>
      <c r="F621" s="105"/>
      <c r="G621" s="105"/>
      <c r="H621" s="106"/>
      <c r="I621" s="106"/>
      <c r="J621" s="106"/>
      <c r="K621" s="94"/>
    </row>
    <row r="622" spans="1:11" ht="23.25" customHeight="1" x14ac:dyDescent="0.25">
      <c r="A622" s="92"/>
      <c r="B622" s="92"/>
      <c r="C622" s="104"/>
      <c r="D622" s="92"/>
      <c r="E622" s="104"/>
      <c r="F622" s="105"/>
      <c r="G622" s="105"/>
      <c r="H622" s="106"/>
      <c r="I622" s="106"/>
      <c r="J622" s="106"/>
      <c r="K622" s="94"/>
    </row>
    <row r="623" spans="1:11" ht="23.25" customHeight="1" x14ac:dyDescent="0.25">
      <c r="A623" s="92"/>
      <c r="B623" s="92"/>
      <c r="C623" s="104"/>
      <c r="D623" s="92"/>
      <c r="E623" s="104"/>
      <c r="F623" s="105"/>
      <c r="G623" s="105"/>
      <c r="H623" s="106"/>
      <c r="I623" s="106"/>
      <c r="J623" s="106"/>
      <c r="K623" s="94"/>
    </row>
    <row r="624" spans="1:11" ht="23.25" customHeight="1" x14ac:dyDescent="0.25">
      <c r="A624" s="92"/>
      <c r="B624" s="92"/>
      <c r="C624" s="104"/>
      <c r="D624" s="92"/>
      <c r="E624" s="104"/>
      <c r="F624" s="105"/>
      <c r="G624" s="105"/>
      <c r="H624" s="106"/>
      <c r="I624" s="106"/>
      <c r="J624" s="106"/>
      <c r="K624" s="94"/>
    </row>
    <row r="625" spans="1:11" ht="23.25" customHeight="1" x14ac:dyDescent="0.25">
      <c r="A625" s="92"/>
      <c r="B625" s="92"/>
      <c r="C625" s="104"/>
      <c r="D625" s="92"/>
      <c r="E625" s="104"/>
      <c r="F625" s="105"/>
      <c r="G625" s="105"/>
      <c r="H625" s="106"/>
      <c r="I625" s="106"/>
      <c r="J625" s="106"/>
      <c r="K625" s="94"/>
    </row>
    <row r="626" spans="1:11" ht="23.25" customHeight="1" x14ac:dyDescent="0.25">
      <c r="A626" s="92"/>
      <c r="B626" s="92"/>
      <c r="C626" s="104"/>
      <c r="D626" s="92"/>
      <c r="E626" s="104"/>
      <c r="F626" s="105"/>
      <c r="G626" s="105"/>
      <c r="H626" s="106"/>
      <c r="I626" s="106"/>
      <c r="J626" s="106"/>
      <c r="K626" s="94"/>
    </row>
    <row r="627" spans="1:11" ht="23.25" customHeight="1" x14ac:dyDescent="0.25">
      <c r="A627" s="92"/>
      <c r="B627" s="92"/>
      <c r="C627" s="104"/>
      <c r="D627" s="92"/>
      <c r="E627" s="104"/>
      <c r="F627" s="105"/>
      <c r="G627" s="105"/>
      <c r="H627" s="106"/>
      <c r="I627" s="106"/>
      <c r="J627" s="106"/>
      <c r="K627" s="94"/>
    </row>
    <row r="628" spans="1:11" ht="23.25" customHeight="1" x14ac:dyDescent="0.25">
      <c r="A628" s="92"/>
      <c r="B628" s="92"/>
      <c r="C628" s="104"/>
      <c r="D628" s="92"/>
      <c r="E628" s="104"/>
      <c r="F628" s="105"/>
      <c r="G628" s="105"/>
      <c r="H628" s="106"/>
      <c r="I628" s="106"/>
      <c r="J628" s="106"/>
      <c r="K628" s="94"/>
    </row>
    <row r="629" spans="1:11" ht="23.25" customHeight="1" x14ac:dyDescent="0.25">
      <c r="A629" s="92"/>
      <c r="B629" s="92"/>
      <c r="C629" s="104"/>
      <c r="D629" s="92"/>
      <c r="E629" s="104"/>
      <c r="F629" s="105"/>
      <c r="G629" s="105"/>
      <c r="H629" s="106"/>
      <c r="I629" s="106"/>
      <c r="J629" s="106"/>
      <c r="K629" s="94"/>
    </row>
    <row r="630" spans="1:11" ht="23.25" customHeight="1" x14ac:dyDescent="0.25">
      <c r="A630" s="92"/>
      <c r="B630" s="92"/>
      <c r="C630" s="104"/>
      <c r="D630" s="92"/>
      <c r="E630" s="104"/>
      <c r="F630" s="105"/>
      <c r="G630" s="105"/>
      <c r="H630" s="106"/>
      <c r="I630" s="106"/>
      <c r="J630" s="106"/>
      <c r="K630" s="94"/>
    </row>
    <row r="631" spans="1:11" ht="23.25" customHeight="1" x14ac:dyDescent="0.25">
      <c r="A631" s="92"/>
      <c r="B631" s="92"/>
      <c r="C631" s="104"/>
      <c r="D631" s="92"/>
      <c r="E631" s="104"/>
      <c r="F631" s="105"/>
      <c r="G631" s="105"/>
      <c r="H631" s="106"/>
      <c r="I631" s="106"/>
      <c r="J631" s="106"/>
      <c r="K631" s="94"/>
    </row>
    <row r="632" spans="1:11" ht="23.25" customHeight="1" x14ac:dyDescent="0.25">
      <c r="A632" s="92"/>
      <c r="B632" s="92"/>
      <c r="C632" s="104"/>
      <c r="D632" s="92"/>
      <c r="E632" s="104"/>
      <c r="F632" s="105"/>
      <c r="G632" s="105"/>
      <c r="H632" s="106"/>
      <c r="I632" s="106"/>
      <c r="J632" s="106"/>
      <c r="K632" s="94"/>
    </row>
    <row r="633" spans="1:11" ht="23.25" customHeight="1" x14ac:dyDescent="0.25">
      <c r="A633" s="92"/>
      <c r="B633" s="107"/>
      <c r="C633" s="104"/>
      <c r="D633" s="108"/>
      <c r="E633" s="104"/>
      <c r="F633" s="105"/>
      <c r="G633" s="105"/>
      <c r="H633" s="106"/>
      <c r="I633" s="106"/>
      <c r="J633" s="106"/>
      <c r="K633" s="94"/>
    </row>
    <row r="634" spans="1:11" ht="23.25" customHeight="1" x14ac:dyDescent="0.25">
      <c r="A634" s="92"/>
      <c r="B634" s="107"/>
      <c r="C634" s="104"/>
      <c r="D634" s="107"/>
      <c r="E634" s="104"/>
      <c r="F634" s="105"/>
      <c r="G634" s="105"/>
      <c r="H634" s="106"/>
      <c r="I634" s="106"/>
      <c r="J634" s="106"/>
      <c r="K634" s="94"/>
    </row>
    <row r="635" spans="1:11" ht="23.25" customHeight="1" x14ac:dyDescent="0.25">
      <c r="A635" s="92"/>
      <c r="B635" s="107"/>
      <c r="C635" s="104"/>
      <c r="D635" s="107"/>
      <c r="E635" s="104"/>
      <c r="F635" s="105"/>
      <c r="G635" s="105"/>
      <c r="H635" s="106"/>
      <c r="I635" s="106"/>
      <c r="J635" s="106"/>
      <c r="K635" s="94"/>
    </row>
    <row r="636" spans="1:11" ht="23.25" customHeight="1" x14ac:dyDescent="0.25">
      <c r="A636" s="92"/>
      <c r="B636" s="107"/>
      <c r="C636" s="104"/>
      <c r="D636" s="109"/>
      <c r="E636" s="104"/>
      <c r="F636" s="105"/>
      <c r="G636" s="105"/>
      <c r="H636" s="106"/>
      <c r="I636" s="106"/>
      <c r="J636" s="106"/>
      <c r="K636" s="94"/>
    </row>
    <row r="637" spans="1:11" ht="23.25" customHeight="1" x14ac:dyDescent="0.25">
      <c r="A637" s="92"/>
      <c r="B637" s="107"/>
      <c r="C637" s="104"/>
      <c r="D637" s="109"/>
      <c r="E637" s="104"/>
      <c r="F637" s="105"/>
      <c r="G637" s="105"/>
      <c r="H637" s="106"/>
      <c r="I637" s="106"/>
      <c r="J637" s="106"/>
      <c r="K637" s="94"/>
    </row>
    <row r="638" spans="1:11" ht="23.25" customHeight="1" x14ac:dyDescent="0.25">
      <c r="A638" s="92"/>
      <c r="B638" s="107"/>
      <c r="C638" s="104"/>
      <c r="D638" s="109"/>
      <c r="E638" s="104"/>
      <c r="F638" s="105"/>
      <c r="G638" s="105"/>
      <c r="H638" s="106"/>
      <c r="I638" s="106"/>
      <c r="J638" s="106"/>
      <c r="K638" s="94"/>
    </row>
    <row r="639" spans="1:11" ht="23.25" customHeight="1" x14ac:dyDescent="0.25">
      <c r="A639" s="92"/>
      <c r="B639" s="107"/>
      <c r="C639" s="104"/>
      <c r="D639" s="109"/>
      <c r="E639" s="104"/>
      <c r="F639" s="105"/>
      <c r="G639" s="105"/>
      <c r="H639" s="106"/>
      <c r="I639" s="106"/>
      <c r="J639" s="106"/>
      <c r="K639" s="94"/>
    </row>
    <row r="640" spans="1:11" ht="23.25" customHeight="1" x14ac:dyDescent="0.25">
      <c r="A640" s="92"/>
      <c r="B640" s="107"/>
      <c r="C640" s="104"/>
      <c r="D640" s="109"/>
      <c r="E640" s="104"/>
      <c r="F640" s="105"/>
      <c r="G640" s="105"/>
      <c r="H640" s="106"/>
      <c r="I640" s="106"/>
      <c r="J640" s="106"/>
      <c r="K640" s="94"/>
    </row>
    <row r="641" spans="1:11" ht="23.25" customHeight="1" x14ac:dyDescent="0.25">
      <c r="A641" s="92"/>
      <c r="B641" s="107"/>
      <c r="C641" s="104"/>
      <c r="D641" s="109"/>
      <c r="E641" s="104"/>
      <c r="F641" s="105"/>
      <c r="G641" s="105"/>
      <c r="H641" s="106"/>
      <c r="I641" s="106"/>
      <c r="J641" s="106"/>
      <c r="K641" s="94"/>
    </row>
    <row r="642" spans="1:11" ht="23.25" customHeight="1" x14ac:dyDescent="0.25">
      <c r="A642" s="92"/>
      <c r="B642" s="107"/>
      <c r="C642" s="104"/>
      <c r="D642" s="109"/>
      <c r="E642" s="104"/>
      <c r="F642" s="105"/>
      <c r="G642" s="105"/>
      <c r="H642" s="106"/>
      <c r="I642" s="106"/>
      <c r="J642" s="106"/>
      <c r="K642" s="94"/>
    </row>
    <row r="643" spans="1:11" ht="23.25" customHeight="1" x14ac:dyDescent="0.25">
      <c r="A643" s="92"/>
      <c r="B643" s="107"/>
      <c r="C643" s="104"/>
      <c r="D643" s="109"/>
      <c r="E643" s="104"/>
      <c r="F643" s="105"/>
      <c r="G643" s="105"/>
      <c r="H643" s="106"/>
      <c r="I643" s="106"/>
      <c r="J643" s="106"/>
      <c r="K643" s="94"/>
    </row>
    <row r="644" spans="1:11" ht="23.25" customHeight="1" x14ac:dyDescent="0.25">
      <c r="A644" s="92"/>
      <c r="B644" s="107"/>
      <c r="C644" s="104"/>
      <c r="D644" s="109"/>
      <c r="E644" s="104"/>
      <c r="F644" s="105"/>
      <c r="G644" s="105"/>
      <c r="H644" s="106"/>
      <c r="I644" s="106"/>
      <c r="J644" s="106"/>
      <c r="K644" s="94"/>
    </row>
    <row r="645" spans="1:11" ht="23.25" customHeight="1" x14ac:dyDescent="0.25">
      <c r="A645" s="92"/>
      <c r="B645" s="107"/>
      <c r="C645" s="104"/>
      <c r="D645" s="109"/>
      <c r="E645" s="104"/>
      <c r="F645" s="105"/>
      <c r="G645" s="105"/>
      <c r="H645" s="106"/>
      <c r="I645" s="106"/>
      <c r="J645" s="106"/>
      <c r="K645" s="94"/>
    </row>
    <row r="646" spans="1:11" ht="23.25" customHeight="1" x14ac:dyDescent="0.25">
      <c r="A646" s="92"/>
      <c r="B646" s="107"/>
      <c r="C646" s="104"/>
      <c r="D646" s="108"/>
      <c r="E646" s="104"/>
      <c r="F646" s="105"/>
      <c r="G646" s="105"/>
      <c r="H646" s="106"/>
      <c r="I646" s="106"/>
      <c r="J646" s="106"/>
      <c r="K646" s="94"/>
    </row>
    <row r="647" spans="1:11" ht="23.25" customHeight="1" x14ac:dyDescent="0.25">
      <c r="A647" s="92"/>
      <c r="B647" s="107"/>
      <c r="C647" s="104"/>
      <c r="D647" s="109"/>
      <c r="E647" s="104"/>
      <c r="F647" s="105"/>
      <c r="G647" s="105"/>
      <c r="H647" s="106"/>
      <c r="I647" s="106"/>
      <c r="J647" s="106"/>
      <c r="K647" s="94"/>
    </row>
    <row r="648" spans="1:11" ht="23.25" customHeight="1" x14ac:dyDescent="0.25">
      <c r="A648" s="92"/>
      <c r="B648" s="107"/>
      <c r="C648" s="104"/>
      <c r="D648" s="109"/>
      <c r="E648" s="104"/>
      <c r="F648" s="105"/>
      <c r="G648" s="105"/>
      <c r="H648" s="106"/>
      <c r="I648" s="106"/>
      <c r="J648" s="106"/>
      <c r="K648" s="94"/>
    </row>
    <row r="649" spans="1:11" ht="23.25" customHeight="1" x14ac:dyDescent="0.25">
      <c r="A649" s="92"/>
      <c r="B649" s="107"/>
      <c r="C649" s="104"/>
      <c r="D649" s="109"/>
      <c r="E649" s="104"/>
      <c r="F649" s="105"/>
      <c r="G649" s="105"/>
      <c r="H649" s="106"/>
      <c r="I649" s="106"/>
      <c r="J649" s="106"/>
      <c r="K649" s="94"/>
    </row>
    <row r="650" spans="1:11" ht="23.25" customHeight="1" x14ac:dyDescent="0.25">
      <c r="A650" s="92"/>
      <c r="B650" s="107"/>
      <c r="C650" s="104"/>
      <c r="D650" s="109"/>
      <c r="E650" s="104"/>
      <c r="F650" s="105"/>
      <c r="G650" s="105"/>
      <c r="H650" s="106"/>
      <c r="I650" s="106"/>
      <c r="J650" s="106"/>
      <c r="K650" s="94"/>
    </row>
    <row r="651" spans="1:11" ht="23.25" customHeight="1" x14ac:dyDescent="0.25">
      <c r="A651" s="92"/>
      <c r="B651" s="107"/>
      <c r="C651" s="104"/>
      <c r="D651" s="109"/>
      <c r="E651" s="104"/>
      <c r="F651" s="105"/>
      <c r="G651" s="105"/>
      <c r="H651" s="106"/>
      <c r="I651" s="106"/>
      <c r="J651" s="106"/>
      <c r="K651" s="94"/>
    </row>
    <row r="652" spans="1:11" ht="23.25" customHeight="1" x14ac:dyDescent="0.25">
      <c r="A652" s="92"/>
      <c r="B652" s="107"/>
      <c r="C652" s="104"/>
      <c r="D652" s="109"/>
      <c r="E652" s="104"/>
      <c r="F652" s="105"/>
      <c r="G652" s="105"/>
      <c r="H652" s="106"/>
      <c r="I652" s="106"/>
      <c r="J652" s="106"/>
      <c r="K652" s="94"/>
    </row>
    <row r="653" spans="1:11" ht="23.25" customHeight="1" x14ac:dyDescent="0.25">
      <c r="A653" s="92"/>
      <c r="B653" s="107"/>
      <c r="C653" s="104"/>
      <c r="D653" s="109"/>
      <c r="E653" s="104"/>
      <c r="F653" s="105"/>
      <c r="G653" s="105"/>
      <c r="H653" s="106"/>
      <c r="I653" s="106"/>
      <c r="J653" s="106"/>
      <c r="K653" s="94"/>
    </row>
    <row r="654" spans="1:11" ht="23.25" customHeight="1" x14ac:dyDescent="0.25">
      <c r="A654" s="92"/>
      <c r="B654" s="107"/>
      <c r="C654" s="104"/>
      <c r="D654" s="109"/>
      <c r="E654" s="104"/>
      <c r="F654" s="105"/>
      <c r="G654" s="105"/>
      <c r="H654" s="106"/>
      <c r="I654" s="106"/>
      <c r="J654" s="106"/>
      <c r="K654" s="94"/>
    </row>
    <row r="655" spans="1:11" ht="23.25" customHeight="1" x14ac:dyDescent="0.25">
      <c r="A655" s="92"/>
      <c r="B655" s="107"/>
      <c r="C655" s="104"/>
      <c r="D655" s="109"/>
      <c r="E655" s="104"/>
      <c r="F655" s="105"/>
      <c r="G655" s="105"/>
      <c r="H655" s="106"/>
      <c r="I655" s="106"/>
      <c r="J655" s="106"/>
      <c r="K655" s="94"/>
    </row>
    <row r="656" spans="1:11" ht="23.25" customHeight="1" x14ac:dyDescent="0.25">
      <c r="A656" s="92"/>
      <c r="B656" s="107"/>
      <c r="C656" s="104"/>
      <c r="D656" s="109"/>
      <c r="E656" s="104"/>
      <c r="F656" s="105"/>
      <c r="G656" s="105"/>
      <c r="H656" s="106"/>
      <c r="I656" s="106"/>
      <c r="J656" s="106"/>
      <c r="K656" s="94"/>
    </row>
    <row r="657" spans="1:11" ht="23.25" customHeight="1" x14ac:dyDescent="0.25">
      <c r="A657" s="92"/>
      <c r="B657" s="107"/>
      <c r="C657" s="104"/>
      <c r="D657" s="109"/>
      <c r="E657" s="104"/>
      <c r="F657" s="105"/>
      <c r="G657" s="105"/>
      <c r="H657" s="106"/>
      <c r="I657" s="106"/>
      <c r="J657" s="106"/>
      <c r="K657" s="94"/>
    </row>
    <row r="658" spans="1:11" ht="23.25" customHeight="1" x14ac:dyDescent="0.25">
      <c r="A658" s="92"/>
      <c r="B658" s="107"/>
      <c r="C658" s="104"/>
      <c r="D658" s="109"/>
      <c r="E658" s="104"/>
      <c r="F658" s="105"/>
      <c r="G658" s="105"/>
      <c r="H658" s="106"/>
      <c r="I658" s="106"/>
      <c r="J658" s="106"/>
      <c r="K658" s="94"/>
    </row>
    <row r="659" spans="1:11" ht="23.25" customHeight="1" x14ac:dyDescent="0.25">
      <c r="A659" s="92"/>
      <c r="B659" s="107"/>
      <c r="C659" s="104"/>
      <c r="D659" s="109"/>
      <c r="E659" s="104"/>
      <c r="F659" s="105"/>
      <c r="G659" s="105"/>
      <c r="H659" s="106"/>
      <c r="I659" s="106"/>
      <c r="J659" s="106"/>
      <c r="K659" s="94"/>
    </row>
    <row r="660" spans="1:11" ht="23.25" customHeight="1" x14ac:dyDescent="0.25">
      <c r="A660" s="92"/>
      <c r="B660" s="107"/>
      <c r="C660" s="104"/>
      <c r="D660" s="109"/>
      <c r="E660" s="104"/>
      <c r="F660" s="105"/>
      <c r="G660" s="105"/>
      <c r="H660" s="106"/>
      <c r="I660" s="106"/>
      <c r="J660" s="106"/>
      <c r="K660" s="94"/>
    </row>
    <row r="661" spans="1:11" ht="23.25" customHeight="1" x14ac:dyDescent="0.25">
      <c r="A661" s="92"/>
      <c r="B661" s="107"/>
      <c r="C661" s="104"/>
      <c r="D661" s="109"/>
      <c r="E661" s="104"/>
      <c r="F661" s="105"/>
      <c r="G661" s="105"/>
      <c r="H661" s="106"/>
      <c r="I661" s="106"/>
      <c r="J661" s="106"/>
      <c r="K661" s="94"/>
    </row>
    <row r="662" spans="1:11" ht="23.25" customHeight="1" x14ac:dyDescent="0.25">
      <c r="A662" s="92"/>
      <c r="B662" s="107"/>
      <c r="C662" s="104"/>
      <c r="D662" s="109"/>
      <c r="E662" s="104"/>
      <c r="F662" s="105"/>
      <c r="G662" s="105"/>
      <c r="H662" s="106"/>
      <c r="I662" s="106"/>
      <c r="J662" s="106"/>
      <c r="K662" s="94"/>
    </row>
    <row r="663" spans="1:11" ht="23.25" customHeight="1" x14ac:dyDescent="0.25">
      <c r="A663" s="92"/>
      <c r="B663" s="107"/>
      <c r="C663" s="104"/>
      <c r="D663" s="109"/>
      <c r="E663" s="104"/>
      <c r="F663" s="105"/>
      <c r="G663" s="105"/>
      <c r="H663" s="106"/>
      <c r="I663" s="106"/>
      <c r="J663" s="106"/>
      <c r="K663" s="94"/>
    </row>
    <row r="664" spans="1:11" ht="23.25" customHeight="1" x14ac:dyDescent="0.25">
      <c r="A664" s="92"/>
      <c r="B664" s="107"/>
      <c r="C664" s="104"/>
      <c r="D664" s="109"/>
      <c r="E664" s="104"/>
      <c r="F664" s="105"/>
      <c r="G664" s="105"/>
      <c r="H664" s="106"/>
      <c r="I664" s="106"/>
      <c r="J664" s="106"/>
      <c r="K664" s="94"/>
    </row>
    <row r="665" spans="1:11" ht="23.25" customHeight="1" x14ac:dyDescent="0.25">
      <c r="A665" s="92"/>
      <c r="B665" s="107"/>
      <c r="C665" s="104"/>
      <c r="D665" s="109"/>
      <c r="E665" s="104"/>
      <c r="F665" s="105"/>
      <c r="G665" s="105"/>
      <c r="H665" s="106"/>
      <c r="I665" s="106"/>
      <c r="J665" s="106"/>
      <c r="K665" s="94"/>
    </row>
    <row r="666" spans="1:11" ht="23.25" customHeight="1" x14ac:dyDescent="0.25">
      <c r="A666" s="92"/>
      <c r="B666" s="107"/>
      <c r="C666" s="104"/>
      <c r="D666" s="109"/>
      <c r="E666" s="104"/>
      <c r="F666" s="105"/>
      <c r="G666" s="105"/>
      <c r="H666" s="106"/>
      <c r="I666" s="106"/>
      <c r="J666" s="106"/>
      <c r="K666" s="94"/>
    </row>
    <row r="667" spans="1:11" ht="23.25" customHeight="1" x14ac:dyDescent="0.25">
      <c r="A667" s="92"/>
      <c r="B667" s="107"/>
      <c r="C667" s="104"/>
      <c r="D667" s="108"/>
      <c r="E667" s="104"/>
      <c r="F667" s="105"/>
      <c r="G667" s="105"/>
      <c r="H667" s="106"/>
      <c r="I667" s="106"/>
      <c r="J667" s="106"/>
      <c r="K667" s="94"/>
    </row>
    <row r="668" spans="1:11" ht="23.25" customHeight="1" x14ac:dyDescent="0.25">
      <c r="A668" s="92"/>
      <c r="B668" s="107"/>
      <c r="C668" s="104"/>
      <c r="D668" s="108"/>
      <c r="E668" s="104"/>
      <c r="F668" s="105"/>
      <c r="G668" s="105"/>
      <c r="H668" s="106"/>
      <c r="I668" s="106"/>
      <c r="J668" s="106"/>
      <c r="K668" s="94"/>
    </row>
    <row r="669" spans="1:11" ht="23.25" customHeight="1" x14ac:dyDescent="0.25">
      <c r="A669" s="92"/>
      <c r="B669" s="107"/>
      <c r="C669" s="104"/>
      <c r="D669" s="109"/>
      <c r="E669" s="104"/>
      <c r="F669" s="105"/>
      <c r="G669" s="105"/>
      <c r="H669" s="106"/>
      <c r="I669" s="106"/>
      <c r="J669" s="106"/>
      <c r="K669" s="94"/>
    </row>
    <row r="670" spans="1:11" ht="23.25" customHeight="1" x14ac:dyDescent="0.25">
      <c r="A670" s="92"/>
      <c r="B670" s="107"/>
      <c r="C670" s="104"/>
      <c r="D670" s="109"/>
      <c r="E670" s="104"/>
      <c r="F670" s="105"/>
      <c r="G670" s="105"/>
      <c r="H670" s="106"/>
      <c r="I670" s="106"/>
      <c r="J670" s="106"/>
      <c r="K670" s="94"/>
    </row>
    <row r="671" spans="1:11" ht="23.25" customHeight="1" x14ac:dyDescent="0.25">
      <c r="A671" s="92"/>
      <c r="B671" s="107"/>
      <c r="C671" s="104"/>
      <c r="D671" s="108"/>
      <c r="E671" s="104"/>
      <c r="F671" s="105"/>
      <c r="G671" s="105"/>
      <c r="H671" s="106"/>
      <c r="I671" s="106"/>
      <c r="J671" s="106"/>
      <c r="K671" s="94"/>
    </row>
    <row r="672" spans="1:11" ht="23.25" customHeight="1" x14ac:dyDescent="0.25">
      <c r="A672" s="92"/>
      <c r="B672" s="107"/>
      <c r="C672" s="104"/>
      <c r="D672" s="109"/>
      <c r="E672" s="104"/>
      <c r="F672" s="105"/>
      <c r="G672" s="105"/>
      <c r="H672" s="106"/>
      <c r="I672" s="106"/>
      <c r="J672" s="106"/>
      <c r="K672" s="94"/>
    </row>
    <row r="673" spans="1:11" ht="23.25" customHeight="1" x14ac:dyDescent="0.25">
      <c r="A673" s="92"/>
      <c r="B673" s="107"/>
      <c r="C673" s="104"/>
      <c r="D673" s="109"/>
      <c r="E673" s="104"/>
      <c r="F673" s="105"/>
      <c r="G673" s="105"/>
      <c r="H673" s="106"/>
      <c r="I673" s="106"/>
      <c r="J673" s="106"/>
      <c r="K673" s="94"/>
    </row>
    <row r="674" spans="1:11" ht="23.25" customHeight="1" x14ac:dyDescent="0.25">
      <c r="A674" s="92"/>
      <c r="B674" s="107"/>
      <c r="C674" s="104"/>
      <c r="D674" s="109"/>
      <c r="E674" s="104"/>
      <c r="F674" s="105"/>
      <c r="G674" s="105"/>
      <c r="H674" s="106"/>
      <c r="I674" s="106"/>
      <c r="J674" s="106"/>
      <c r="K674" s="94"/>
    </row>
    <row r="675" spans="1:11" ht="23.25" customHeight="1" x14ac:dyDescent="0.25">
      <c r="A675" s="92"/>
      <c r="B675" s="107"/>
      <c r="C675" s="104"/>
      <c r="D675" s="108"/>
      <c r="E675" s="104"/>
      <c r="F675" s="105"/>
      <c r="G675" s="105"/>
      <c r="H675" s="106"/>
      <c r="I675" s="106"/>
      <c r="J675" s="106"/>
      <c r="K675" s="94"/>
    </row>
    <row r="676" spans="1:11" ht="23.25" customHeight="1" x14ac:dyDescent="0.25">
      <c r="A676" s="92"/>
      <c r="B676" s="107"/>
      <c r="C676" s="104"/>
      <c r="D676" s="108"/>
      <c r="E676" s="104"/>
      <c r="F676" s="105"/>
      <c r="G676" s="105"/>
      <c r="H676" s="106"/>
      <c r="I676" s="106"/>
      <c r="J676" s="106"/>
      <c r="K676" s="94"/>
    </row>
    <row r="677" spans="1:11" ht="23.25" customHeight="1" x14ac:dyDescent="0.25">
      <c r="A677" s="92"/>
      <c r="B677" s="107"/>
      <c r="C677" s="104"/>
      <c r="D677" s="108"/>
      <c r="E677" s="104"/>
      <c r="F677" s="105"/>
      <c r="G677" s="105"/>
      <c r="H677" s="106"/>
      <c r="I677" s="106"/>
      <c r="J677" s="106"/>
      <c r="K677" s="94"/>
    </row>
    <row r="678" spans="1:11" ht="23.25" customHeight="1" x14ac:dyDescent="0.25">
      <c r="A678" s="92"/>
      <c r="B678" s="107"/>
      <c r="C678" s="104"/>
      <c r="D678" s="109"/>
      <c r="E678" s="104"/>
      <c r="F678" s="105"/>
      <c r="G678" s="105"/>
      <c r="H678" s="106"/>
      <c r="I678" s="106"/>
      <c r="J678" s="106"/>
      <c r="K678" s="94"/>
    </row>
    <row r="679" spans="1:11" ht="23.25" customHeight="1" x14ac:dyDescent="0.25">
      <c r="A679" s="92"/>
      <c r="B679" s="107"/>
      <c r="C679" s="104"/>
      <c r="D679" s="109"/>
      <c r="E679" s="104"/>
      <c r="F679" s="105"/>
      <c r="G679" s="105"/>
      <c r="H679" s="106"/>
      <c r="I679" s="106"/>
      <c r="J679" s="106"/>
      <c r="K679" s="94"/>
    </row>
    <row r="680" spans="1:11" ht="23.25" customHeight="1" x14ac:dyDescent="0.25">
      <c r="A680" s="92"/>
      <c r="B680" s="107"/>
      <c r="C680" s="104"/>
      <c r="D680" s="108"/>
      <c r="E680" s="104"/>
      <c r="F680" s="105"/>
      <c r="G680" s="105"/>
      <c r="H680" s="106"/>
      <c r="I680" s="106"/>
      <c r="J680" s="106"/>
      <c r="K680" s="94"/>
    </row>
    <row r="681" spans="1:11" ht="23.25" customHeight="1" x14ac:dyDescent="0.25">
      <c r="A681" s="92"/>
      <c r="B681" s="107"/>
      <c r="C681" s="104"/>
      <c r="D681" s="109"/>
      <c r="E681" s="104"/>
      <c r="F681" s="105"/>
      <c r="G681" s="105"/>
      <c r="H681" s="106"/>
      <c r="I681" s="106"/>
      <c r="J681" s="106"/>
      <c r="K681" s="94"/>
    </row>
    <row r="682" spans="1:11" ht="23.25" customHeight="1" x14ac:dyDescent="0.25">
      <c r="A682" s="92"/>
      <c r="B682" s="107"/>
      <c r="C682" s="104"/>
      <c r="D682" s="109"/>
      <c r="E682" s="104"/>
      <c r="F682" s="105"/>
      <c r="G682" s="105"/>
      <c r="H682" s="106"/>
      <c r="I682" s="106"/>
      <c r="J682" s="106"/>
      <c r="K682" s="94"/>
    </row>
    <row r="683" spans="1:11" ht="23.25" customHeight="1" x14ac:dyDescent="0.25">
      <c r="A683" s="92"/>
      <c r="B683" s="107"/>
      <c r="C683" s="104"/>
      <c r="D683" s="109"/>
      <c r="E683" s="104"/>
      <c r="F683" s="105"/>
      <c r="G683" s="105"/>
      <c r="H683" s="106"/>
      <c r="I683" s="106"/>
      <c r="J683" s="106"/>
      <c r="K683" s="94"/>
    </row>
    <row r="684" spans="1:11" ht="23.25" customHeight="1" x14ac:dyDescent="0.25">
      <c r="A684" s="92"/>
      <c r="B684" s="107"/>
      <c r="C684" s="104"/>
      <c r="D684" s="109"/>
      <c r="E684" s="104"/>
      <c r="F684" s="105"/>
      <c r="G684" s="105"/>
      <c r="H684" s="106"/>
      <c r="I684" s="106"/>
      <c r="J684" s="106"/>
      <c r="K684" s="94"/>
    </row>
    <row r="685" spans="1:11" ht="23.25" customHeight="1" x14ac:dyDescent="0.25">
      <c r="A685" s="92"/>
      <c r="B685" s="107"/>
      <c r="C685" s="104"/>
      <c r="D685" s="109"/>
      <c r="E685" s="104"/>
      <c r="F685" s="105"/>
      <c r="G685" s="105"/>
      <c r="H685" s="106"/>
      <c r="I685" s="106"/>
      <c r="J685" s="106"/>
      <c r="K685" s="94"/>
    </row>
    <row r="686" spans="1:11" ht="23.25" customHeight="1" x14ac:dyDescent="0.25">
      <c r="A686" s="92"/>
      <c r="B686" s="107"/>
      <c r="C686" s="104"/>
      <c r="D686" s="109"/>
      <c r="E686" s="104"/>
      <c r="F686" s="105"/>
      <c r="G686" s="105"/>
      <c r="H686" s="106"/>
      <c r="I686" s="106"/>
      <c r="J686" s="106"/>
      <c r="K686" s="94"/>
    </row>
    <row r="687" spans="1:11" ht="23.25" customHeight="1" x14ac:dyDescent="0.25">
      <c r="A687" s="92"/>
      <c r="B687" s="107"/>
      <c r="C687" s="104"/>
      <c r="D687" s="109"/>
      <c r="E687" s="104"/>
      <c r="F687" s="105"/>
      <c r="G687" s="105"/>
      <c r="H687" s="106"/>
      <c r="I687" s="106"/>
      <c r="J687" s="106"/>
      <c r="K687" s="94"/>
    </row>
    <row r="688" spans="1:11" ht="23.25" customHeight="1" x14ac:dyDescent="0.25">
      <c r="A688" s="92"/>
      <c r="B688" s="107"/>
      <c r="C688" s="104"/>
      <c r="D688" s="109"/>
      <c r="E688" s="104"/>
      <c r="F688" s="105"/>
      <c r="G688" s="105"/>
      <c r="H688" s="106"/>
      <c r="I688" s="106"/>
      <c r="J688" s="106"/>
      <c r="K688" s="94"/>
    </row>
    <row r="689" spans="1:11" ht="23.25" customHeight="1" x14ac:dyDescent="0.25">
      <c r="A689" s="92"/>
      <c r="B689" s="107"/>
      <c r="C689" s="104"/>
      <c r="D689" s="109"/>
      <c r="E689" s="104"/>
      <c r="F689" s="105"/>
      <c r="G689" s="105"/>
      <c r="H689" s="106"/>
      <c r="I689" s="106"/>
      <c r="J689" s="106"/>
      <c r="K689" s="94"/>
    </row>
    <row r="690" spans="1:11" ht="23.25" customHeight="1" x14ac:dyDescent="0.25">
      <c r="A690" s="92"/>
      <c r="B690" s="107"/>
      <c r="C690" s="104"/>
      <c r="D690" s="109"/>
      <c r="E690" s="104"/>
      <c r="F690" s="105"/>
      <c r="G690" s="105"/>
      <c r="H690" s="106"/>
      <c r="I690" s="106"/>
      <c r="J690" s="106"/>
      <c r="K690" s="94"/>
    </row>
    <row r="691" spans="1:11" ht="23.25" customHeight="1" x14ac:dyDescent="0.25">
      <c r="A691" s="92"/>
      <c r="B691" s="107"/>
      <c r="C691" s="104"/>
      <c r="D691" s="109"/>
      <c r="E691" s="104"/>
      <c r="F691" s="105"/>
      <c r="G691" s="105"/>
      <c r="H691" s="106"/>
      <c r="I691" s="106"/>
      <c r="J691" s="106"/>
      <c r="K691" s="94"/>
    </row>
    <row r="692" spans="1:11" ht="23.25" customHeight="1" x14ac:dyDescent="0.25">
      <c r="A692" s="92"/>
      <c r="B692" s="107"/>
      <c r="C692" s="104"/>
      <c r="D692" s="109"/>
      <c r="E692" s="104"/>
      <c r="F692" s="105"/>
      <c r="G692" s="105"/>
      <c r="H692" s="106"/>
      <c r="I692" s="106"/>
      <c r="J692" s="106"/>
      <c r="K692" s="94"/>
    </row>
    <row r="693" spans="1:11" ht="23.25" customHeight="1" x14ac:dyDescent="0.25">
      <c r="A693" s="92"/>
      <c r="B693" s="107"/>
      <c r="C693" s="104"/>
      <c r="D693" s="109"/>
      <c r="E693" s="104"/>
      <c r="F693" s="105"/>
      <c r="G693" s="105"/>
      <c r="H693" s="106"/>
      <c r="I693" s="106"/>
      <c r="J693" s="106"/>
      <c r="K693" s="94"/>
    </row>
    <row r="694" spans="1:11" ht="23.25" customHeight="1" x14ac:dyDescent="0.25">
      <c r="A694" s="92"/>
      <c r="B694" s="107"/>
      <c r="C694" s="104"/>
      <c r="D694" s="109"/>
      <c r="E694" s="104"/>
      <c r="F694" s="105"/>
      <c r="G694" s="105"/>
      <c r="H694" s="106"/>
      <c r="I694" s="106"/>
      <c r="J694" s="106"/>
      <c r="K694" s="94"/>
    </row>
    <row r="695" spans="1:11" ht="23.25" customHeight="1" x14ac:dyDescent="0.25">
      <c r="A695" s="92"/>
      <c r="B695" s="107"/>
      <c r="C695" s="104"/>
      <c r="D695" s="109"/>
      <c r="E695" s="104"/>
      <c r="F695" s="105"/>
      <c r="G695" s="105"/>
      <c r="H695" s="106"/>
      <c r="I695" s="106"/>
      <c r="J695" s="106"/>
      <c r="K695" s="94"/>
    </row>
    <row r="696" spans="1:11" ht="23.25" customHeight="1" x14ac:dyDescent="0.25">
      <c r="A696" s="92"/>
      <c r="B696" s="107"/>
      <c r="C696" s="104"/>
      <c r="D696" s="108"/>
      <c r="E696" s="104"/>
      <c r="F696" s="105"/>
      <c r="G696" s="105"/>
      <c r="H696" s="106"/>
      <c r="I696" s="106"/>
      <c r="J696" s="106"/>
      <c r="K696" s="94"/>
    </row>
    <row r="697" spans="1:11" ht="23.25" customHeight="1" x14ac:dyDescent="0.25">
      <c r="A697" s="92"/>
      <c r="B697" s="107"/>
      <c r="C697" s="104"/>
      <c r="D697" s="109"/>
      <c r="E697" s="104"/>
      <c r="F697" s="105"/>
      <c r="G697" s="105"/>
      <c r="H697" s="106"/>
      <c r="I697" s="106"/>
      <c r="J697" s="106"/>
      <c r="K697" s="94"/>
    </row>
    <row r="698" spans="1:11" ht="23.25" customHeight="1" x14ac:dyDescent="0.25">
      <c r="A698" s="92"/>
      <c r="B698" s="107"/>
      <c r="C698" s="104"/>
      <c r="D698" s="109"/>
      <c r="E698" s="104"/>
      <c r="F698" s="105"/>
      <c r="G698" s="105"/>
      <c r="H698" s="106"/>
      <c r="I698" s="106"/>
      <c r="J698" s="106"/>
      <c r="K698" s="94"/>
    </row>
    <row r="699" spans="1:11" ht="23.25" customHeight="1" x14ac:dyDescent="0.25">
      <c r="A699" s="92"/>
      <c r="B699" s="107"/>
      <c r="C699" s="104"/>
      <c r="D699" s="109"/>
      <c r="E699" s="104"/>
      <c r="F699" s="105"/>
      <c r="G699" s="105"/>
      <c r="H699" s="106"/>
      <c r="I699" s="106"/>
      <c r="J699" s="106"/>
      <c r="K699" s="94"/>
    </row>
    <row r="700" spans="1:11" ht="23.25" customHeight="1" x14ac:dyDescent="0.25">
      <c r="A700" s="92"/>
      <c r="B700" s="110"/>
      <c r="C700" s="104"/>
      <c r="D700" s="104"/>
      <c r="E700" s="104"/>
      <c r="F700" s="105"/>
      <c r="G700" s="105"/>
      <c r="H700" s="106"/>
      <c r="I700" s="106"/>
      <c r="J700" s="106"/>
      <c r="K700" s="94"/>
    </row>
    <row r="701" spans="1:11" ht="23.25" customHeight="1" x14ac:dyDescent="0.25">
      <c r="A701" s="92"/>
      <c r="B701" s="111"/>
      <c r="C701" s="104"/>
      <c r="D701" s="108"/>
      <c r="E701" s="104"/>
      <c r="F701" s="105"/>
      <c r="G701" s="105"/>
      <c r="H701" s="106"/>
      <c r="I701" s="106"/>
      <c r="J701" s="106"/>
      <c r="K701" s="94"/>
    </row>
    <row r="702" spans="1:11" ht="23.25" customHeight="1" x14ac:dyDescent="0.25">
      <c r="A702" s="92"/>
      <c r="B702" s="111"/>
      <c r="C702" s="104"/>
      <c r="D702" s="108"/>
      <c r="E702" s="104"/>
      <c r="F702" s="105"/>
      <c r="G702" s="105"/>
      <c r="H702" s="106"/>
      <c r="I702" s="106"/>
      <c r="J702" s="106"/>
      <c r="K702" s="94"/>
    </row>
    <row r="703" spans="1:11" ht="23.25" customHeight="1" x14ac:dyDescent="0.25">
      <c r="A703" s="92"/>
      <c r="B703" s="111"/>
      <c r="C703" s="104"/>
      <c r="D703" s="108"/>
      <c r="E703" s="104"/>
      <c r="F703" s="105"/>
      <c r="G703" s="105"/>
      <c r="H703" s="106"/>
      <c r="I703" s="106"/>
      <c r="J703" s="106"/>
      <c r="K703" s="94"/>
    </row>
    <row r="704" spans="1:11" ht="23.25" customHeight="1" x14ac:dyDescent="0.25">
      <c r="A704" s="92"/>
      <c r="B704" s="111"/>
      <c r="C704" s="104"/>
      <c r="D704" s="108"/>
      <c r="E704" s="104"/>
      <c r="F704" s="105"/>
      <c r="G704" s="105"/>
      <c r="H704" s="106"/>
      <c r="I704" s="106"/>
      <c r="J704" s="106"/>
      <c r="K704" s="94"/>
    </row>
    <row r="705" spans="1:11" ht="23.25" customHeight="1" x14ac:dyDescent="0.25">
      <c r="A705" s="92"/>
      <c r="B705" s="111"/>
      <c r="C705" s="104"/>
      <c r="D705" s="108"/>
      <c r="E705" s="104"/>
      <c r="F705" s="105"/>
      <c r="G705" s="105"/>
      <c r="H705" s="106"/>
      <c r="I705" s="106"/>
      <c r="J705" s="106"/>
      <c r="K705" s="94"/>
    </row>
    <row r="706" spans="1:11" ht="23.25" customHeight="1" x14ac:dyDescent="0.25">
      <c r="A706" s="92"/>
      <c r="B706" s="111"/>
      <c r="C706" s="104"/>
      <c r="D706" s="108"/>
      <c r="E706" s="104"/>
      <c r="F706" s="105"/>
      <c r="G706" s="105"/>
      <c r="H706" s="106"/>
      <c r="I706" s="106"/>
      <c r="J706" s="106"/>
      <c r="K706" s="94"/>
    </row>
    <row r="707" spans="1:11" ht="23.25" customHeight="1" x14ac:dyDescent="0.25">
      <c r="A707" s="92"/>
      <c r="B707" s="111"/>
      <c r="C707" s="104"/>
      <c r="D707" s="108"/>
      <c r="E707" s="104"/>
      <c r="F707" s="105"/>
      <c r="G707" s="105"/>
      <c r="H707" s="106"/>
      <c r="I707" s="106"/>
      <c r="J707" s="106"/>
      <c r="K707" s="94"/>
    </row>
    <row r="708" spans="1:11" ht="23.25" customHeight="1" x14ac:dyDescent="0.25">
      <c r="A708" s="92"/>
      <c r="B708" s="111"/>
      <c r="C708" s="104"/>
      <c r="D708" s="108"/>
      <c r="E708" s="104"/>
      <c r="F708" s="105"/>
      <c r="G708" s="105"/>
      <c r="H708" s="106"/>
      <c r="I708" s="106"/>
      <c r="J708" s="106"/>
      <c r="K708" s="94"/>
    </row>
    <row r="709" spans="1:11" ht="23.25" customHeight="1" x14ac:dyDescent="0.25">
      <c r="A709" s="92"/>
      <c r="B709" s="111"/>
      <c r="C709" s="104"/>
      <c r="D709" s="108"/>
      <c r="E709" s="104"/>
      <c r="F709" s="105"/>
      <c r="G709" s="105"/>
      <c r="H709" s="106"/>
      <c r="I709" s="106"/>
      <c r="J709" s="106"/>
      <c r="K709" s="94"/>
    </row>
    <row r="710" spans="1:11" ht="23.25" customHeight="1" x14ac:dyDescent="0.25">
      <c r="A710" s="92"/>
      <c r="B710" s="111"/>
      <c r="C710" s="104"/>
      <c r="D710" s="108"/>
      <c r="E710" s="104"/>
      <c r="F710" s="105"/>
      <c r="G710" s="105"/>
      <c r="H710" s="106"/>
      <c r="I710" s="106"/>
      <c r="J710" s="106"/>
      <c r="K710" s="94"/>
    </row>
    <row r="711" spans="1:11" ht="23.25" customHeight="1" x14ac:dyDescent="0.25">
      <c r="A711" s="92"/>
      <c r="B711" s="111"/>
      <c r="C711" s="104"/>
      <c r="D711" s="108"/>
      <c r="E711" s="104"/>
      <c r="F711" s="105"/>
      <c r="G711" s="105"/>
      <c r="H711" s="106"/>
      <c r="I711" s="106"/>
      <c r="J711" s="106"/>
      <c r="K711" s="94"/>
    </row>
    <row r="712" spans="1:11" ht="23.25" customHeight="1" x14ac:dyDescent="0.25">
      <c r="A712" s="92"/>
      <c r="B712" s="111"/>
      <c r="C712" s="104"/>
      <c r="D712" s="108"/>
      <c r="E712" s="104"/>
      <c r="F712" s="105"/>
      <c r="G712" s="105"/>
      <c r="H712" s="106"/>
      <c r="I712" s="106"/>
      <c r="J712" s="106"/>
      <c r="K712" s="94"/>
    </row>
    <row r="713" spans="1:11" ht="23.25" customHeight="1" x14ac:dyDescent="0.25">
      <c r="A713" s="92"/>
      <c r="B713" s="111"/>
      <c r="C713" s="104"/>
      <c r="D713" s="108"/>
      <c r="E713" s="104"/>
      <c r="F713" s="105"/>
      <c r="G713" s="105"/>
      <c r="H713" s="106"/>
      <c r="I713" s="106"/>
      <c r="J713" s="106"/>
      <c r="K713" s="94"/>
    </row>
    <row r="714" spans="1:11" ht="23.25" customHeight="1" x14ac:dyDescent="0.25">
      <c r="A714" s="92"/>
      <c r="B714" s="111"/>
      <c r="C714" s="104"/>
      <c r="D714" s="108"/>
      <c r="E714" s="104"/>
      <c r="F714" s="105"/>
      <c r="G714" s="105"/>
      <c r="H714" s="106"/>
      <c r="I714" s="106"/>
      <c r="J714" s="106"/>
      <c r="K714" s="94"/>
    </row>
    <row r="715" spans="1:11" ht="23.25" customHeight="1" x14ac:dyDescent="0.25">
      <c r="A715" s="92"/>
      <c r="B715" s="111"/>
      <c r="C715" s="104"/>
      <c r="D715" s="112"/>
      <c r="E715" s="104"/>
      <c r="F715" s="105"/>
      <c r="G715" s="105"/>
      <c r="H715" s="106"/>
      <c r="I715" s="106"/>
      <c r="J715" s="106"/>
      <c r="K715" s="94"/>
    </row>
    <row r="716" spans="1:11" ht="23.25" customHeight="1" x14ac:dyDescent="0.25">
      <c r="A716" s="92"/>
      <c r="B716" s="111"/>
      <c r="C716" s="104"/>
      <c r="D716" s="108"/>
      <c r="E716" s="104"/>
      <c r="F716" s="105"/>
      <c r="G716" s="105"/>
      <c r="H716" s="106"/>
      <c r="I716" s="106"/>
      <c r="J716" s="106"/>
      <c r="K716" s="94"/>
    </row>
    <row r="717" spans="1:11" ht="23.25" customHeight="1" x14ac:dyDescent="0.25">
      <c r="A717" s="92"/>
      <c r="B717" s="111"/>
      <c r="C717" s="104"/>
      <c r="D717" s="112"/>
      <c r="E717" s="104"/>
      <c r="F717" s="105"/>
      <c r="G717" s="105"/>
      <c r="H717" s="106"/>
      <c r="I717" s="106"/>
      <c r="J717" s="106"/>
      <c r="K717" s="94"/>
    </row>
    <row r="718" spans="1:11" ht="23.25" customHeight="1" x14ac:dyDescent="0.25">
      <c r="A718" s="92"/>
      <c r="B718" s="111"/>
      <c r="C718" s="104"/>
      <c r="D718" s="108"/>
      <c r="E718" s="104"/>
      <c r="F718" s="105"/>
      <c r="G718" s="105"/>
      <c r="H718" s="106"/>
      <c r="I718" s="106"/>
      <c r="J718" s="106"/>
      <c r="K718" s="94"/>
    </row>
    <row r="719" spans="1:11" ht="23.25" customHeight="1" x14ac:dyDescent="0.25">
      <c r="A719" s="92"/>
      <c r="B719" s="111"/>
      <c r="C719" s="104"/>
      <c r="D719" s="108"/>
      <c r="E719" s="104"/>
      <c r="F719" s="105"/>
      <c r="G719" s="105"/>
      <c r="H719" s="106"/>
      <c r="I719" s="106"/>
      <c r="J719" s="106"/>
      <c r="K719" s="94"/>
    </row>
    <row r="720" spans="1:11" ht="23.25" customHeight="1" x14ac:dyDescent="0.25">
      <c r="A720" s="92"/>
      <c r="B720" s="111"/>
      <c r="C720" s="104"/>
      <c r="D720" s="108"/>
      <c r="E720" s="104"/>
      <c r="F720" s="105"/>
      <c r="G720" s="105"/>
      <c r="H720" s="106"/>
      <c r="I720" s="106"/>
      <c r="J720" s="106"/>
      <c r="K720" s="94"/>
    </row>
    <row r="721" spans="1:11" ht="23.25" customHeight="1" x14ac:dyDescent="0.25">
      <c r="A721" s="92"/>
      <c r="B721" s="111"/>
      <c r="C721" s="104"/>
      <c r="D721" s="108"/>
      <c r="E721" s="104"/>
      <c r="F721" s="105"/>
      <c r="G721" s="105"/>
      <c r="H721" s="106"/>
      <c r="I721" s="106"/>
      <c r="J721" s="106"/>
      <c r="K721" s="94"/>
    </row>
    <row r="722" spans="1:11" ht="23.25" customHeight="1" x14ac:dyDescent="0.25">
      <c r="A722" s="92"/>
      <c r="B722" s="111"/>
      <c r="C722" s="104"/>
      <c r="D722" s="108"/>
      <c r="E722" s="104"/>
      <c r="F722" s="105"/>
      <c r="G722" s="105"/>
      <c r="H722" s="106"/>
      <c r="I722" s="106"/>
      <c r="J722" s="106"/>
      <c r="K722" s="94"/>
    </row>
    <row r="723" spans="1:11" ht="23.25" customHeight="1" x14ac:dyDescent="0.25">
      <c r="A723" s="92"/>
      <c r="B723" s="111"/>
      <c r="C723" s="104"/>
      <c r="D723" s="108"/>
      <c r="E723" s="104"/>
      <c r="F723" s="105"/>
      <c r="G723" s="105"/>
      <c r="H723" s="106"/>
      <c r="I723" s="106"/>
      <c r="J723" s="106"/>
      <c r="K723" s="94"/>
    </row>
    <row r="724" spans="1:11" ht="23.25" customHeight="1" x14ac:dyDescent="0.25">
      <c r="A724" s="92"/>
      <c r="B724" s="111"/>
      <c r="C724" s="104"/>
      <c r="D724" s="107"/>
      <c r="E724" s="104"/>
      <c r="F724" s="105"/>
      <c r="G724" s="105"/>
      <c r="H724" s="106"/>
      <c r="I724" s="106"/>
      <c r="J724" s="106"/>
      <c r="K724" s="94"/>
    </row>
    <row r="725" spans="1:11" ht="23.25" customHeight="1" x14ac:dyDescent="0.25">
      <c r="A725" s="92"/>
      <c r="B725" s="111"/>
      <c r="C725" s="104"/>
      <c r="D725" s="107"/>
      <c r="E725" s="104"/>
      <c r="F725" s="105"/>
      <c r="G725" s="105"/>
      <c r="H725" s="106"/>
      <c r="I725" s="106"/>
      <c r="J725" s="106"/>
      <c r="K725" s="94"/>
    </row>
    <row r="726" spans="1:11" ht="23.25" customHeight="1" x14ac:dyDescent="0.25">
      <c r="A726" s="92"/>
      <c r="B726" s="111"/>
      <c r="C726" s="104"/>
      <c r="D726" s="107"/>
      <c r="E726" s="104"/>
      <c r="F726" s="105"/>
      <c r="G726" s="105"/>
      <c r="H726" s="106"/>
      <c r="I726" s="106"/>
      <c r="J726" s="106"/>
      <c r="K726" s="94"/>
    </row>
    <row r="727" spans="1:11" ht="23.25" customHeight="1" x14ac:dyDescent="0.25">
      <c r="A727" s="92"/>
      <c r="B727" s="111"/>
      <c r="C727" s="104"/>
      <c r="D727" s="107"/>
      <c r="E727" s="104"/>
      <c r="F727" s="105"/>
      <c r="G727" s="105"/>
      <c r="H727" s="106"/>
      <c r="I727" s="106"/>
      <c r="J727" s="106"/>
      <c r="K727" s="94"/>
    </row>
    <row r="728" spans="1:11" ht="23.25" customHeight="1" x14ac:dyDescent="0.25">
      <c r="A728" s="92"/>
      <c r="B728" s="111"/>
      <c r="C728" s="104"/>
      <c r="D728" s="107"/>
      <c r="E728" s="104"/>
      <c r="F728" s="105"/>
      <c r="G728" s="105"/>
      <c r="H728" s="106"/>
      <c r="I728" s="106"/>
      <c r="J728" s="106"/>
      <c r="K728" s="94"/>
    </row>
    <row r="729" spans="1:11" ht="23.25" customHeight="1" x14ac:dyDescent="0.25">
      <c r="A729" s="92"/>
      <c r="B729" s="111"/>
      <c r="C729" s="104"/>
      <c r="D729" s="107"/>
      <c r="E729" s="104"/>
      <c r="F729" s="105"/>
      <c r="G729" s="105"/>
      <c r="H729" s="106"/>
      <c r="I729" s="106"/>
      <c r="J729" s="106"/>
      <c r="K729" s="94"/>
    </row>
    <row r="730" spans="1:11" ht="23.25" customHeight="1" x14ac:dyDescent="0.25">
      <c r="A730" s="92"/>
      <c r="B730" s="111"/>
      <c r="C730" s="104"/>
      <c r="D730" s="113"/>
      <c r="E730" s="104"/>
      <c r="F730" s="105"/>
      <c r="G730" s="105"/>
      <c r="H730" s="106"/>
      <c r="I730" s="106"/>
      <c r="J730" s="106"/>
      <c r="K730" s="94"/>
    </row>
    <row r="731" spans="1:11" ht="23.25" customHeight="1" x14ac:dyDescent="0.25">
      <c r="A731" s="92"/>
      <c r="B731" s="111"/>
      <c r="C731" s="104"/>
      <c r="D731" s="107"/>
      <c r="E731" s="104"/>
      <c r="F731" s="105"/>
      <c r="G731" s="105"/>
      <c r="H731" s="106"/>
      <c r="I731" s="106"/>
      <c r="J731" s="106"/>
      <c r="K731" s="94"/>
    </row>
    <row r="732" spans="1:11" ht="23.25" customHeight="1" x14ac:dyDescent="0.25">
      <c r="A732" s="92"/>
      <c r="B732" s="111"/>
      <c r="C732" s="104"/>
      <c r="D732" s="107"/>
      <c r="E732" s="104"/>
      <c r="F732" s="105"/>
      <c r="G732" s="105"/>
      <c r="H732" s="106"/>
      <c r="I732" s="106"/>
      <c r="J732" s="106"/>
      <c r="K732" s="94"/>
    </row>
    <row r="733" spans="1:11" ht="23.25" customHeight="1" x14ac:dyDescent="0.25">
      <c r="A733" s="92"/>
      <c r="B733" s="111"/>
      <c r="C733" s="104"/>
      <c r="D733" s="107"/>
      <c r="E733" s="104"/>
      <c r="F733" s="105"/>
      <c r="G733" s="105"/>
      <c r="H733" s="106"/>
      <c r="I733" s="106"/>
      <c r="J733" s="106"/>
      <c r="K733" s="94"/>
    </row>
    <row r="734" spans="1:11" ht="23.25" customHeight="1" x14ac:dyDescent="0.25">
      <c r="A734" s="92"/>
      <c r="B734" s="111"/>
      <c r="C734" s="104"/>
      <c r="D734" s="107"/>
      <c r="E734" s="104"/>
      <c r="F734" s="105"/>
      <c r="G734" s="105"/>
      <c r="H734" s="106"/>
      <c r="I734" s="106"/>
      <c r="J734" s="106"/>
      <c r="K734" s="94"/>
    </row>
    <row r="735" spans="1:11" ht="23.25" customHeight="1" x14ac:dyDescent="0.25">
      <c r="A735" s="92"/>
      <c r="B735" s="111"/>
      <c r="C735" s="104"/>
      <c r="D735" s="107"/>
      <c r="E735" s="104"/>
      <c r="F735" s="105"/>
      <c r="G735" s="105"/>
      <c r="H735" s="106"/>
      <c r="I735" s="106"/>
      <c r="J735" s="106"/>
      <c r="K735" s="94"/>
    </row>
    <row r="736" spans="1:11" ht="23.25" customHeight="1" x14ac:dyDescent="0.25">
      <c r="A736" s="92"/>
      <c r="B736" s="111"/>
      <c r="C736" s="104"/>
      <c r="D736" s="107"/>
      <c r="E736" s="104"/>
      <c r="F736" s="105"/>
      <c r="G736" s="105"/>
      <c r="H736" s="106"/>
      <c r="I736" s="106"/>
      <c r="J736" s="106"/>
      <c r="K736" s="94"/>
    </row>
    <row r="737" spans="1:11" ht="23.25" customHeight="1" x14ac:dyDescent="0.25">
      <c r="A737" s="92"/>
      <c r="B737" s="111"/>
      <c r="C737" s="104"/>
      <c r="D737" s="107"/>
      <c r="E737" s="104"/>
      <c r="F737" s="105"/>
      <c r="G737" s="105"/>
      <c r="H737" s="106"/>
      <c r="I737" s="106"/>
      <c r="J737" s="106"/>
      <c r="K737" s="94"/>
    </row>
    <row r="738" spans="1:11" ht="23.25" customHeight="1" x14ac:dyDescent="0.25">
      <c r="A738" s="92"/>
      <c r="B738" s="111"/>
      <c r="C738" s="104"/>
      <c r="D738" s="107"/>
      <c r="E738" s="104"/>
      <c r="F738" s="105"/>
      <c r="G738" s="105"/>
      <c r="H738" s="106"/>
      <c r="I738" s="106"/>
      <c r="J738" s="106"/>
      <c r="K738" s="94"/>
    </row>
    <row r="739" spans="1:11" ht="23.25" customHeight="1" x14ac:dyDescent="0.25">
      <c r="A739" s="92"/>
      <c r="B739" s="111"/>
      <c r="C739" s="104"/>
      <c r="D739" s="107"/>
      <c r="E739" s="104"/>
      <c r="F739" s="105"/>
      <c r="G739" s="105"/>
      <c r="H739" s="106"/>
      <c r="I739" s="106"/>
      <c r="J739" s="106"/>
      <c r="K739" s="94"/>
    </row>
    <row r="740" spans="1:11" ht="23.25" customHeight="1" x14ac:dyDescent="0.25">
      <c r="A740" s="92"/>
      <c r="B740" s="111"/>
      <c r="C740" s="104"/>
      <c r="D740" s="107"/>
      <c r="E740" s="104"/>
      <c r="F740" s="105"/>
      <c r="G740" s="105"/>
      <c r="H740" s="106"/>
      <c r="I740" s="106"/>
      <c r="J740" s="106"/>
      <c r="K740" s="94"/>
    </row>
    <row r="741" spans="1:11" ht="23.25" customHeight="1" x14ac:dyDescent="0.25">
      <c r="A741" s="92"/>
      <c r="B741" s="111"/>
      <c r="C741" s="104"/>
      <c r="D741" s="107"/>
      <c r="E741" s="104"/>
      <c r="F741" s="105"/>
      <c r="G741" s="105"/>
      <c r="H741" s="106"/>
      <c r="I741" s="106"/>
      <c r="J741" s="106"/>
      <c r="K741" s="94"/>
    </row>
    <row r="742" spans="1:11" ht="23.25" customHeight="1" x14ac:dyDescent="0.25">
      <c r="A742" s="92"/>
      <c r="B742" s="111"/>
      <c r="C742" s="104"/>
      <c r="D742" s="107"/>
      <c r="E742" s="104"/>
      <c r="F742" s="105"/>
      <c r="G742" s="105"/>
      <c r="H742" s="106"/>
      <c r="I742" s="106"/>
      <c r="J742" s="106"/>
      <c r="K742" s="94"/>
    </row>
    <row r="743" spans="1:11" ht="23.25" customHeight="1" x14ac:dyDescent="0.25">
      <c r="A743" s="92"/>
      <c r="B743" s="111"/>
      <c r="C743" s="104"/>
      <c r="D743" s="107"/>
      <c r="E743" s="104"/>
      <c r="F743" s="105"/>
      <c r="G743" s="105"/>
      <c r="H743" s="106"/>
      <c r="I743" s="106"/>
      <c r="J743" s="106"/>
      <c r="K743" s="94"/>
    </row>
    <row r="744" spans="1:11" ht="23.25" customHeight="1" x14ac:dyDescent="0.25">
      <c r="A744" s="92"/>
      <c r="B744" s="111"/>
      <c r="C744" s="104"/>
      <c r="D744" s="107"/>
      <c r="E744" s="104"/>
      <c r="F744" s="105"/>
      <c r="G744" s="105"/>
      <c r="H744" s="106"/>
      <c r="I744" s="106"/>
      <c r="J744" s="106"/>
      <c r="K744" s="94"/>
    </row>
    <row r="745" spans="1:11" ht="23.25" customHeight="1" x14ac:dyDescent="0.25">
      <c r="A745" s="92"/>
      <c r="B745" s="111"/>
      <c r="C745" s="104"/>
      <c r="D745" s="107"/>
      <c r="E745" s="104"/>
      <c r="F745" s="105"/>
      <c r="G745" s="105"/>
      <c r="H745" s="106"/>
      <c r="I745" s="106"/>
      <c r="J745" s="106"/>
      <c r="K745" s="94"/>
    </row>
    <row r="746" spans="1:11" ht="23.25" customHeight="1" x14ac:dyDescent="0.25">
      <c r="A746" s="92"/>
      <c r="B746" s="111"/>
      <c r="C746" s="104"/>
      <c r="D746" s="107"/>
      <c r="E746" s="104"/>
      <c r="F746" s="105"/>
      <c r="G746" s="105"/>
      <c r="H746" s="106"/>
      <c r="I746" s="106"/>
      <c r="J746" s="106"/>
      <c r="K746" s="94"/>
    </row>
    <row r="747" spans="1:11" ht="23.25" customHeight="1" x14ac:dyDescent="0.25">
      <c r="A747" s="92"/>
      <c r="B747" s="111"/>
      <c r="C747" s="104"/>
      <c r="D747" s="107"/>
      <c r="E747" s="104"/>
      <c r="F747" s="105"/>
      <c r="G747" s="105"/>
      <c r="H747" s="106"/>
      <c r="I747" s="106"/>
      <c r="J747" s="106"/>
      <c r="K747" s="94"/>
    </row>
    <row r="748" spans="1:11" ht="23.25" customHeight="1" x14ac:dyDescent="0.25">
      <c r="A748" s="92"/>
      <c r="B748" s="111"/>
      <c r="C748" s="104"/>
      <c r="D748" s="107"/>
      <c r="E748" s="104"/>
      <c r="F748" s="105"/>
      <c r="G748" s="105"/>
      <c r="H748" s="106"/>
      <c r="I748" s="106"/>
      <c r="J748" s="106"/>
      <c r="K748" s="94"/>
    </row>
    <row r="749" spans="1:11" ht="23.25" customHeight="1" x14ac:dyDescent="0.25">
      <c r="A749" s="92"/>
      <c r="B749" s="111"/>
      <c r="C749" s="104"/>
      <c r="D749" s="107"/>
      <c r="E749" s="104"/>
      <c r="F749" s="105"/>
      <c r="G749" s="105"/>
      <c r="H749" s="106"/>
      <c r="I749" s="106"/>
      <c r="J749" s="106"/>
      <c r="K749" s="94"/>
    </row>
    <row r="750" spans="1:11" ht="23.25" customHeight="1" x14ac:dyDescent="0.25">
      <c r="A750" s="92"/>
      <c r="B750" s="111"/>
      <c r="C750" s="104"/>
      <c r="D750" s="107"/>
      <c r="E750" s="104"/>
      <c r="F750" s="105"/>
      <c r="G750" s="105"/>
      <c r="H750" s="106"/>
      <c r="I750" s="106"/>
      <c r="J750" s="106"/>
      <c r="K750" s="94"/>
    </row>
    <row r="751" spans="1:11" ht="23.25" customHeight="1" x14ac:dyDescent="0.25">
      <c r="A751" s="92"/>
      <c r="B751" s="111"/>
      <c r="C751" s="104"/>
      <c r="D751" s="107"/>
      <c r="E751" s="104"/>
      <c r="F751" s="105"/>
      <c r="G751" s="105"/>
      <c r="H751" s="106"/>
      <c r="I751" s="106"/>
      <c r="J751" s="106"/>
      <c r="K751" s="94"/>
    </row>
    <row r="752" spans="1:11" ht="23.25" customHeight="1" x14ac:dyDescent="0.25">
      <c r="A752" s="92"/>
      <c r="B752" s="111"/>
      <c r="C752" s="104"/>
      <c r="D752" s="107"/>
      <c r="E752" s="104"/>
      <c r="F752" s="105"/>
      <c r="G752" s="105"/>
      <c r="H752" s="106"/>
      <c r="I752" s="106"/>
      <c r="J752" s="106"/>
      <c r="K752" s="94"/>
    </row>
    <row r="753" spans="1:11" ht="23.25" customHeight="1" x14ac:dyDescent="0.25">
      <c r="A753" s="92"/>
      <c r="B753" s="111"/>
      <c r="C753" s="104"/>
      <c r="D753" s="107"/>
      <c r="E753" s="104"/>
      <c r="F753" s="105"/>
      <c r="G753" s="105"/>
      <c r="H753" s="106"/>
      <c r="I753" s="106"/>
      <c r="J753" s="106"/>
      <c r="K753" s="94"/>
    </row>
    <row r="754" spans="1:11" ht="23.25" customHeight="1" x14ac:dyDescent="0.25">
      <c r="A754" s="92"/>
      <c r="B754" s="111"/>
      <c r="C754" s="104"/>
      <c r="D754" s="107"/>
      <c r="E754" s="104"/>
      <c r="F754" s="105"/>
      <c r="G754" s="105"/>
      <c r="H754" s="106"/>
      <c r="I754" s="106"/>
      <c r="J754" s="106"/>
      <c r="K754" s="94"/>
    </row>
    <row r="755" spans="1:11" ht="23.25" customHeight="1" x14ac:dyDescent="0.25">
      <c r="A755" s="92"/>
      <c r="B755" s="111"/>
      <c r="C755" s="104"/>
      <c r="D755" s="107"/>
      <c r="E755" s="104"/>
      <c r="F755" s="105"/>
      <c r="G755" s="105"/>
      <c r="H755" s="106"/>
      <c r="I755" s="106"/>
      <c r="J755" s="106"/>
      <c r="K755" s="94"/>
    </row>
    <row r="756" spans="1:11" ht="23.25" customHeight="1" x14ac:dyDescent="0.25">
      <c r="A756" s="92"/>
      <c r="B756" s="111"/>
      <c r="C756" s="104"/>
      <c r="D756" s="107"/>
      <c r="E756" s="104"/>
      <c r="F756" s="105"/>
      <c r="G756" s="105"/>
      <c r="H756" s="106"/>
      <c r="I756" s="106"/>
      <c r="J756" s="106"/>
      <c r="K756" s="94"/>
    </row>
    <row r="757" spans="1:11" ht="23.25" customHeight="1" x14ac:dyDescent="0.25">
      <c r="A757" s="92"/>
      <c r="B757" s="111"/>
      <c r="C757" s="104"/>
      <c r="D757" s="107"/>
      <c r="E757" s="104"/>
      <c r="F757" s="105"/>
      <c r="G757" s="105"/>
      <c r="H757" s="106"/>
      <c r="I757" s="106"/>
      <c r="J757" s="106"/>
      <c r="K757" s="94"/>
    </row>
    <row r="758" spans="1:11" ht="23.25" customHeight="1" x14ac:dyDescent="0.25">
      <c r="A758" s="92"/>
      <c r="B758" s="111"/>
      <c r="C758" s="104"/>
      <c r="D758" s="107"/>
      <c r="E758" s="104"/>
      <c r="F758" s="105"/>
      <c r="G758" s="105"/>
      <c r="H758" s="106"/>
      <c r="I758" s="106"/>
      <c r="J758" s="106"/>
      <c r="K758" s="94"/>
    </row>
    <row r="759" spans="1:11" ht="23.25" customHeight="1" x14ac:dyDescent="0.25">
      <c r="A759" s="92"/>
      <c r="B759" s="111"/>
      <c r="C759" s="104"/>
      <c r="D759" s="107"/>
      <c r="E759" s="104"/>
      <c r="F759" s="105"/>
      <c r="G759" s="105"/>
      <c r="H759" s="106"/>
      <c r="I759" s="106"/>
      <c r="J759" s="106"/>
      <c r="K759" s="94"/>
    </row>
    <row r="760" spans="1:11" ht="23.25" customHeight="1" x14ac:dyDescent="0.25">
      <c r="A760" s="92"/>
      <c r="B760" s="111"/>
      <c r="C760" s="104"/>
      <c r="D760" s="107"/>
      <c r="E760" s="104"/>
      <c r="F760" s="105"/>
      <c r="G760" s="105"/>
      <c r="H760" s="106"/>
      <c r="I760" s="106"/>
      <c r="J760" s="106"/>
      <c r="K760" s="94"/>
    </row>
    <row r="761" spans="1:11" ht="23.25" customHeight="1" x14ac:dyDescent="0.25">
      <c r="A761" s="92"/>
      <c r="B761" s="111"/>
      <c r="C761" s="104"/>
      <c r="D761" s="107"/>
      <c r="E761" s="104"/>
      <c r="F761" s="105"/>
      <c r="G761" s="105"/>
      <c r="H761" s="106"/>
      <c r="I761" s="106"/>
      <c r="J761" s="106"/>
      <c r="K761" s="94"/>
    </row>
    <row r="762" spans="1:11" ht="23.25" customHeight="1" x14ac:dyDescent="0.25">
      <c r="A762" s="92"/>
      <c r="B762" s="111"/>
      <c r="C762" s="104"/>
      <c r="D762" s="107"/>
      <c r="E762" s="104"/>
      <c r="F762" s="105"/>
      <c r="G762" s="105"/>
      <c r="H762" s="106"/>
      <c r="I762" s="106"/>
      <c r="J762" s="106"/>
      <c r="K762" s="94"/>
    </row>
    <row r="763" spans="1:11" ht="23.25" customHeight="1" x14ac:dyDescent="0.25">
      <c r="A763" s="92"/>
      <c r="B763" s="111"/>
      <c r="C763" s="104"/>
      <c r="D763" s="107"/>
      <c r="E763" s="104"/>
      <c r="F763" s="105"/>
      <c r="G763" s="105"/>
      <c r="H763" s="106"/>
      <c r="I763" s="106"/>
      <c r="J763" s="106"/>
      <c r="K763" s="94"/>
    </row>
    <row r="764" spans="1:11" ht="23.25" customHeight="1" x14ac:dyDescent="0.25">
      <c r="A764" s="92"/>
      <c r="B764" s="111"/>
      <c r="C764" s="104"/>
      <c r="D764" s="107"/>
      <c r="E764" s="104"/>
      <c r="F764" s="105"/>
      <c r="G764" s="105"/>
      <c r="H764" s="106"/>
      <c r="I764" s="106"/>
      <c r="J764" s="106"/>
      <c r="K764" s="94"/>
    </row>
    <row r="765" spans="1:11" ht="23.25" customHeight="1" x14ac:dyDescent="0.25">
      <c r="A765" s="92"/>
      <c r="B765" s="111"/>
      <c r="C765" s="104"/>
      <c r="D765" s="107"/>
      <c r="E765" s="104"/>
      <c r="F765" s="105"/>
      <c r="G765" s="105"/>
      <c r="H765" s="106"/>
      <c r="I765" s="106"/>
      <c r="J765" s="106"/>
      <c r="K765" s="94"/>
    </row>
    <row r="766" spans="1:11" ht="23.25" customHeight="1" x14ac:dyDescent="0.25">
      <c r="A766" s="92"/>
      <c r="B766" s="111"/>
      <c r="C766" s="104"/>
      <c r="D766" s="107"/>
      <c r="E766" s="104"/>
      <c r="F766" s="105"/>
      <c r="G766" s="105"/>
      <c r="H766" s="106"/>
      <c r="I766" s="106"/>
      <c r="J766" s="106"/>
      <c r="K766" s="94"/>
    </row>
    <row r="767" spans="1:11" ht="23.25" customHeight="1" x14ac:dyDescent="0.25">
      <c r="A767" s="92"/>
      <c r="B767" s="111"/>
      <c r="C767" s="104"/>
      <c r="D767" s="107"/>
      <c r="E767" s="104"/>
      <c r="F767" s="105"/>
      <c r="G767" s="105"/>
      <c r="H767" s="106"/>
      <c r="I767" s="106"/>
      <c r="J767" s="106"/>
      <c r="K767" s="94"/>
    </row>
    <row r="768" spans="1:11" ht="23.25" customHeight="1" x14ac:dyDescent="0.25">
      <c r="A768" s="92"/>
      <c r="B768" s="111"/>
      <c r="C768" s="104"/>
      <c r="D768" s="107"/>
      <c r="E768" s="104"/>
      <c r="F768" s="105"/>
      <c r="G768" s="105"/>
      <c r="H768" s="106"/>
      <c r="I768" s="106"/>
      <c r="J768" s="106"/>
      <c r="K768" s="94"/>
    </row>
    <row r="769" spans="1:11" ht="23.25" customHeight="1" x14ac:dyDescent="0.25">
      <c r="A769" s="92"/>
      <c r="B769" s="111"/>
      <c r="C769" s="104"/>
      <c r="D769" s="107"/>
      <c r="E769" s="104"/>
      <c r="F769" s="105"/>
      <c r="G769" s="105"/>
      <c r="H769" s="106"/>
      <c r="I769" s="106"/>
      <c r="J769" s="106"/>
      <c r="K769" s="94"/>
    </row>
    <row r="770" spans="1:11" ht="23.25" customHeight="1" x14ac:dyDescent="0.25">
      <c r="A770" s="92"/>
      <c r="B770" s="111"/>
      <c r="C770" s="104"/>
      <c r="D770" s="107"/>
      <c r="E770" s="104"/>
      <c r="F770" s="105"/>
      <c r="G770" s="105"/>
      <c r="H770" s="106"/>
      <c r="I770" s="106"/>
      <c r="J770" s="106"/>
      <c r="K770" s="94"/>
    </row>
    <row r="771" spans="1:11" ht="23.25" customHeight="1" x14ac:dyDescent="0.25">
      <c r="A771" s="92"/>
      <c r="B771" s="111"/>
      <c r="C771" s="104"/>
      <c r="D771" s="107"/>
      <c r="E771" s="104"/>
      <c r="F771" s="105"/>
      <c r="G771" s="105"/>
      <c r="H771" s="106"/>
      <c r="I771" s="106"/>
      <c r="J771" s="106"/>
      <c r="K771" s="94"/>
    </row>
    <row r="772" spans="1:11" ht="23.25" customHeight="1" x14ac:dyDescent="0.25">
      <c r="A772" s="92"/>
      <c r="B772" s="111"/>
      <c r="C772" s="104"/>
      <c r="D772" s="107"/>
      <c r="E772" s="104"/>
      <c r="F772" s="105"/>
      <c r="G772" s="105"/>
      <c r="H772" s="106"/>
      <c r="I772" s="106"/>
      <c r="J772" s="106"/>
      <c r="K772" s="94"/>
    </row>
    <row r="773" spans="1:11" ht="23.25" customHeight="1" x14ac:dyDescent="0.25">
      <c r="A773" s="92"/>
      <c r="B773" s="111"/>
      <c r="C773" s="104"/>
      <c r="D773" s="107"/>
      <c r="E773" s="104"/>
      <c r="F773" s="105"/>
      <c r="G773" s="105"/>
      <c r="H773" s="106"/>
      <c r="I773" s="106"/>
      <c r="J773" s="106"/>
      <c r="K773" s="94"/>
    </row>
    <row r="774" spans="1:11" ht="23.25" customHeight="1" x14ac:dyDescent="0.25">
      <c r="A774" s="92"/>
      <c r="B774" s="111"/>
      <c r="C774" s="104"/>
      <c r="D774" s="107"/>
      <c r="E774" s="104"/>
      <c r="F774" s="105"/>
      <c r="G774" s="105"/>
      <c r="H774" s="106"/>
      <c r="I774" s="106"/>
      <c r="J774" s="106"/>
      <c r="K774" s="94"/>
    </row>
    <row r="775" spans="1:11" ht="23.25" customHeight="1" x14ac:dyDescent="0.25">
      <c r="A775" s="92"/>
      <c r="B775" s="111"/>
      <c r="C775" s="104"/>
      <c r="D775" s="107"/>
      <c r="E775" s="104"/>
      <c r="F775" s="105"/>
      <c r="G775" s="105"/>
      <c r="H775" s="106"/>
      <c r="I775" s="106"/>
      <c r="J775" s="106"/>
      <c r="K775" s="94"/>
    </row>
    <row r="776" spans="1:11" ht="23.25" customHeight="1" x14ac:dyDescent="0.25">
      <c r="A776" s="92"/>
      <c r="B776" s="111"/>
      <c r="C776" s="104"/>
      <c r="D776" s="107"/>
      <c r="E776" s="104"/>
      <c r="F776" s="105"/>
      <c r="G776" s="105"/>
      <c r="H776" s="106"/>
      <c r="I776" s="106"/>
      <c r="J776" s="106"/>
      <c r="K776" s="94"/>
    </row>
    <row r="777" spans="1:11" ht="23.25" customHeight="1" x14ac:dyDescent="0.25">
      <c r="A777" s="92"/>
      <c r="B777" s="111"/>
      <c r="C777" s="104"/>
      <c r="D777" s="107"/>
      <c r="E777" s="104"/>
      <c r="F777" s="105"/>
      <c r="G777" s="105"/>
      <c r="H777" s="106"/>
      <c r="I777" s="106"/>
      <c r="J777" s="106"/>
      <c r="K777" s="94"/>
    </row>
    <row r="778" spans="1:11" ht="23.25" customHeight="1" x14ac:dyDescent="0.25">
      <c r="A778" s="92"/>
      <c r="B778" s="111"/>
      <c r="C778" s="104"/>
      <c r="D778" s="107"/>
      <c r="E778" s="104"/>
      <c r="F778" s="105"/>
      <c r="G778" s="105"/>
      <c r="H778" s="106"/>
      <c r="I778" s="106"/>
      <c r="J778" s="106"/>
      <c r="K778" s="94"/>
    </row>
    <row r="779" spans="1:11" ht="23.25" customHeight="1" x14ac:dyDescent="0.25">
      <c r="A779" s="92"/>
      <c r="B779" s="111"/>
      <c r="C779" s="104"/>
      <c r="D779" s="107"/>
      <c r="E779" s="104"/>
      <c r="F779" s="105"/>
      <c r="G779" s="105"/>
      <c r="H779" s="106"/>
      <c r="I779" s="106"/>
      <c r="J779" s="106"/>
      <c r="K779" s="94"/>
    </row>
    <row r="780" spans="1:11" ht="23.25" customHeight="1" x14ac:dyDescent="0.25">
      <c r="A780" s="92"/>
      <c r="B780" s="104"/>
      <c r="C780" s="104"/>
      <c r="D780" s="92"/>
      <c r="E780" s="104"/>
      <c r="I780" s="106"/>
      <c r="J780" s="106"/>
      <c r="K780" s="94"/>
    </row>
    <row r="781" spans="1:11" ht="23.25" customHeight="1" x14ac:dyDescent="0.25">
      <c r="A781" s="92"/>
      <c r="B781" s="104"/>
      <c r="C781" s="104"/>
      <c r="D781" s="92"/>
      <c r="E781" s="104"/>
      <c r="I781" s="106"/>
      <c r="J781" s="106"/>
      <c r="K781" s="94"/>
    </row>
    <row r="782" spans="1:11" ht="23.25" customHeight="1" x14ac:dyDescent="0.25">
      <c r="A782" s="92"/>
      <c r="B782" s="104"/>
      <c r="C782" s="104"/>
      <c r="D782" s="92"/>
      <c r="E782" s="104"/>
      <c r="I782" s="106"/>
      <c r="J782" s="106"/>
      <c r="K782" s="94"/>
    </row>
    <row r="783" spans="1:11" ht="23.25" customHeight="1" x14ac:dyDescent="0.25">
      <c r="A783" s="92"/>
      <c r="B783" s="104"/>
      <c r="C783" s="104"/>
      <c r="D783" s="92"/>
      <c r="E783" s="104"/>
      <c r="I783" s="106"/>
      <c r="J783" s="106"/>
      <c r="K783" s="94"/>
    </row>
    <row r="784" spans="1:11" ht="23.25" customHeight="1" x14ac:dyDescent="0.25">
      <c r="A784" s="92"/>
      <c r="B784" s="104"/>
      <c r="C784" s="104"/>
      <c r="D784" s="92"/>
      <c r="E784" s="104"/>
      <c r="I784" s="106"/>
      <c r="J784" s="106"/>
      <c r="K784" s="94"/>
    </row>
    <row r="785" spans="1:11" ht="23.25" customHeight="1" x14ac:dyDescent="0.25">
      <c r="A785" s="92"/>
      <c r="B785" s="104"/>
      <c r="C785" s="104"/>
      <c r="D785" s="92"/>
      <c r="E785" s="104"/>
      <c r="I785" s="106"/>
      <c r="J785" s="106"/>
      <c r="K785" s="94"/>
    </row>
    <row r="786" spans="1:11" ht="23.25" customHeight="1" x14ac:dyDescent="0.25">
      <c r="A786" s="92"/>
      <c r="B786" s="104"/>
      <c r="C786" s="104"/>
      <c r="D786" s="92"/>
      <c r="E786" s="104"/>
      <c r="I786" s="106"/>
      <c r="J786" s="106"/>
      <c r="K786" s="94"/>
    </row>
    <row r="787" spans="1:11" ht="23.25" customHeight="1" x14ac:dyDescent="0.25">
      <c r="A787" s="92"/>
      <c r="B787" s="104"/>
      <c r="C787" s="104"/>
      <c r="D787" s="92"/>
      <c r="E787" s="104"/>
      <c r="I787" s="106"/>
      <c r="J787" s="106"/>
      <c r="K787" s="94"/>
    </row>
    <row r="788" spans="1:11" ht="23.25" customHeight="1" x14ac:dyDescent="0.25">
      <c r="A788" s="92"/>
      <c r="B788" s="104"/>
      <c r="C788" s="104"/>
      <c r="D788" s="92"/>
      <c r="E788" s="104"/>
      <c r="I788" s="106"/>
      <c r="J788" s="106"/>
      <c r="K788" s="94"/>
    </row>
    <row r="789" spans="1:11" ht="23.25" customHeight="1" x14ac:dyDescent="0.25">
      <c r="A789" s="92"/>
      <c r="B789" s="104"/>
      <c r="C789" s="104"/>
      <c r="D789" s="92"/>
      <c r="E789" s="104"/>
      <c r="I789" s="106"/>
      <c r="J789" s="106"/>
      <c r="K789" s="94"/>
    </row>
    <row r="790" spans="1:11" ht="23.25" customHeight="1" x14ac:dyDescent="0.25">
      <c r="A790" s="92"/>
      <c r="B790" s="104"/>
      <c r="C790" s="104"/>
      <c r="D790" s="92"/>
      <c r="E790" s="104"/>
      <c r="I790" s="106"/>
      <c r="J790" s="106"/>
      <c r="K790" s="94"/>
    </row>
    <row r="791" spans="1:11" ht="23.25" customHeight="1" x14ac:dyDescent="0.25">
      <c r="A791" s="92"/>
      <c r="B791" s="104"/>
      <c r="C791" s="104"/>
      <c r="D791" s="92"/>
      <c r="E791" s="104"/>
      <c r="I791" s="106"/>
      <c r="J791" s="106"/>
      <c r="K791" s="94"/>
    </row>
    <row r="792" spans="1:11" ht="23.25" customHeight="1" x14ac:dyDescent="0.25">
      <c r="A792" s="92"/>
      <c r="B792" s="104"/>
      <c r="C792" s="104"/>
      <c r="D792" s="92"/>
      <c r="E792" s="104"/>
      <c r="I792" s="106"/>
      <c r="J792" s="106"/>
      <c r="K792" s="94"/>
    </row>
    <row r="793" spans="1:11" ht="23.25" customHeight="1" x14ac:dyDescent="0.25">
      <c r="A793" s="92"/>
      <c r="B793" s="104"/>
      <c r="C793" s="104"/>
      <c r="D793" s="92"/>
      <c r="E793" s="104"/>
      <c r="I793" s="106"/>
      <c r="J793" s="106"/>
      <c r="K793" s="94"/>
    </row>
    <row r="794" spans="1:11" ht="23.25" customHeight="1" x14ac:dyDescent="0.25">
      <c r="A794" s="92"/>
      <c r="B794" s="104"/>
      <c r="C794" s="104"/>
      <c r="D794" s="92"/>
      <c r="E794" s="104"/>
      <c r="I794" s="106"/>
      <c r="J794" s="106"/>
      <c r="K794" s="94"/>
    </row>
    <row r="795" spans="1:11" ht="23.25" customHeight="1" x14ac:dyDescent="0.25">
      <c r="A795" s="92"/>
      <c r="B795" s="104"/>
      <c r="C795" s="104"/>
      <c r="D795" s="92"/>
      <c r="E795" s="104"/>
      <c r="I795" s="106"/>
      <c r="J795" s="106"/>
      <c r="K795" s="94"/>
    </row>
    <row r="796" spans="1:11" ht="23.25" customHeight="1" x14ac:dyDescent="0.25">
      <c r="A796" s="92"/>
      <c r="B796" s="104"/>
      <c r="C796" s="104"/>
      <c r="D796" s="92"/>
      <c r="E796" s="104"/>
      <c r="I796" s="106"/>
      <c r="J796" s="106"/>
      <c r="K796" s="94"/>
    </row>
    <row r="797" spans="1:11" ht="23.25" customHeight="1" x14ac:dyDescent="0.25">
      <c r="A797" s="92"/>
      <c r="B797" s="104"/>
      <c r="C797" s="104"/>
      <c r="D797" s="92"/>
      <c r="E797" s="104"/>
      <c r="I797" s="106"/>
      <c r="J797" s="106"/>
      <c r="K797" s="94"/>
    </row>
    <row r="798" spans="1:11" ht="23.25" customHeight="1" x14ac:dyDescent="0.25">
      <c r="A798" s="92"/>
      <c r="B798" s="104"/>
      <c r="C798" s="104"/>
      <c r="D798" s="92"/>
      <c r="E798" s="104"/>
      <c r="H798" s="106"/>
      <c r="I798" s="106"/>
      <c r="J798" s="106"/>
      <c r="K798" s="94"/>
    </row>
    <row r="799" spans="1:11" ht="23.25" customHeight="1" x14ac:dyDescent="0.25">
      <c r="A799" s="92"/>
      <c r="B799" s="104"/>
      <c r="C799" s="104"/>
      <c r="D799" s="92"/>
      <c r="E799" s="104"/>
      <c r="I799" s="106"/>
      <c r="J799" s="106"/>
      <c r="K799" s="94"/>
    </row>
    <row r="800" spans="1:11" ht="23.25" customHeight="1" x14ac:dyDescent="0.25">
      <c r="A800" s="92"/>
      <c r="B800" s="104"/>
      <c r="C800" s="104"/>
      <c r="D800" s="92"/>
      <c r="E800" s="104"/>
      <c r="I800" s="106"/>
      <c r="J800" s="106"/>
      <c r="K800" s="94"/>
    </row>
    <row r="801" spans="1:11" ht="23.25" customHeight="1" x14ac:dyDescent="0.25">
      <c r="A801" s="92"/>
      <c r="B801" s="104"/>
      <c r="C801" s="104"/>
      <c r="D801" s="92"/>
      <c r="E801" s="104"/>
      <c r="I801" s="106"/>
      <c r="J801" s="106"/>
      <c r="K801" s="94"/>
    </row>
    <row r="802" spans="1:11" ht="23.25" customHeight="1" x14ac:dyDescent="0.25">
      <c r="A802" s="92"/>
      <c r="B802" s="104"/>
      <c r="C802" s="104"/>
      <c r="D802" s="92"/>
      <c r="E802" s="104"/>
      <c r="I802" s="106"/>
      <c r="J802" s="106"/>
      <c r="K802" s="94"/>
    </row>
    <row r="803" spans="1:11" ht="23.25" customHeight="1" x14ac:dyDescent="0.25">
      <c r="A803" s="92"/>
      <c r="B803" s="104"/>
      <c r="C803" s="104"/>
      <c r="D803" s="92"/>
      <c r="E803" s="104"/>
      <c r="I803" s="106"/>
      <c r="J803" s="106"/>
      <c r="K803" s="94"/>
    </row>
    <row r="804" spans="1:11" ht="23.25" customHeight="1" x14ac:dyDescent="0.25">
      <c r="A804" s="92"/>
      <c r="B804" s="104"/>
      <c r="C804" s="104"/>
      <c r="D804" s="92"/>
      <c r="E804" s="104"/>
      <c r="I804" s="106"/>
      <c r="J804" s="106"/>
      <c r="K804" s="94"/>
    </row>
    <row r="805" spans="1:11" ht="23.25" customHeight="1" x14ac:dyDescent="0.25">
      <c r="A805" s="92"/>
      <c r="B805" s="104"/>
      <c r="C805" s="104"/>
      <c r="D805" s="92"/>
      <c r="E805" s="104"/>
      <c r="I805" s="106"/>
      <c r="J805" s="106"/>
      <c r="K805" s="94"/>
    </row>
    <row r="806" spans="1:11" ht="23.25" customHeight="1" x14ac:dyDescent="0.25">
      <c r="A806" s="92"/>
      <c r="B806" s="104"/>
      <c r="C806" s="104"/>
      <c r="D806" s="92"/>
      <c r="E806" s="104"/>
      <c r="I806" s="106"/>
      <c r="J806" s="106"/>
      <c r="K806" s="94"/>
    </row>
    <row r="807" spans="1:11" ht="23.25" customHeight="1" x14ac:dyDescent="0.25">
      <c r="A807" s="92"/>
      <c r="B807" s="104"/>
      <c r="C807" s="104"/>
      <c r="D807" s="92"/>
      <c r="E807" s="104"/>
      <c r="I807" s="106"/>
      <c r="J807" s="106"/>
      <c r="K807" s="94"/>
    </row>
    <row r="808" spans="1:11" ht="23.25" customHeight="1" x14ac:dyDescent="0.25">
      <c r="A808" s="92"/>
      <c r="B808" s="104"/>
      <c r="C808" s="104"/>
      <c r="D808" s="92"/>
      <c r="E808" s="104"/>
      <c r="I808" s="106"/>
      <c r="J808" s="106"/>
      <c r="K808" s="94"/>
    </row>
    <row r="809" spans="1:11" ht="23.25" customHeight="1" x14ac:dyDescent="0.25">
      <c r="A809" s="92"/>
      <c r="C809" s="104"/>
      <c r="D809" s="92"/>
      <c r="E809" s="104"/>
      <c r="I809" s="106"/>
      <c r="J809" s="106"/>
      <c r="K809" s="94"/>
    </row>
    <row r="810" spans="1:11" ht="23.25" customHeight="1" x14ac:dyDescent="0.25">
      <c r="A810" s="92"/>
      <c r="C810" s="104"/>
      <c r="D810" s="92"/>
      <c r="E810" s="104"/>
      <c r="I810" s="106"/>
      <c r="J810" s="106"/>
      <c r="K810" s="94"/>
    </row>
    <row r="811" spans="1:11" ht="23.25" customHeight="1" x14ac:dyDescent="0.25">
      <c r="A811" s="92"/>
      <c r="C811" s="104"/>
      <c r="D811" s="92"/>
      <c r="E811" s="104"/>
      <c r="I811" s="106"/>
      <c r="J811" s="106"/>
      <c r="K811" s="94"/>
    </row>
    <row r="812" spans="1:11" ht="23.25" customHeight="1" x14ac:dyDescent="0.25">
      <c r="A812" s="92"/>
      <c r="C812" s="104"/>
      <c r="D812" s="92"/>
      <c r="E812" s="104"/>
      <c r="I812" s="106"/>
      <c r="J812" s="106"/>
      <c r="K812" s="94"/>
    </row>
    <row r="813" spans="1:11" ht="23.25" customHeight="1" x14ac:dyDescent="0.25">
      <c r="A813" s="92"/>
      <c r="C813" s="104"/>
      <c r="D813" s="92"/>
      <c r="E813" s="104"/>
      <c r="I813" s="106"/>
      <c r="J813" s="106"/>
      <c r="K813" s="94"/>
    </row>
    <row r="814" spans="1:11" ht="23.25" customHeight="1" x14ac:dyDescent="0.25">
      <c r="A814" s="92"/>
      <c r="C814" s="104"/>
      <c r="D814" s="92"/>
      <c r="E814" s="104"/>
      <c r="I814" s="106"/>
      <c r="J814" s="106"/>
      <c r="K814" s="94"/>
    </row>
    <row r="815" spans="1:11" ht="23.25" customHeight="1" x14ac:dyDescent="0.25">
      <c r="A815" s="92"/>
      <c r="C815" s="104"/>
      <c r="D815" s="92"/>
      <c r="E815" s="104"/>
      <c r="I815" s="106"/>
      <c r="J815" s="106"/>
      <c r="K815" s="94"/>
    </row>
    <row r="816" spans="1:11" ht="23.25" customHeight="1" x14ac:dyDescent="0.25">
      <c r="A816" s="92"/>
      <c r="C816" s="104"/>
      <c r="D816" s="92"/>
      <c r="E816" s="104"/>
      <c r="I816" s="106"/>
      <c r="J816" s="106"/>
      <c r="K816" s="94"/>
    </row>
    <row r="817" spans="1:11" ht="23.25" customHeight="1" x14ac:dyDescent="0.25">
      <c r="A817" s="92"/>
      <c r="C817" s="104"/>
      <c r="D817" s="92"/>
      <c r="E817" s="104"/>
      <c r="I817" s="106"/>
      <c r="J817" s="106"/>
      <c r="K817" s="94"/>
    </row>
    <row r="818" spans="1:11" ht="23.25" customHeight="1" x14ac:dyDescent="0.25">
      <c r="A818" s="92"/>
      <c r="C818" s="104"/>
      <c r="D818" s="92"/>
      <c r="E818" s="104"/>
      <c r="I818" s="106"/>
      <c r="J818" s="106"/>
      <c r="K818" s="94"/>
    </row>
    <row r="819" spans="1:11" ht="23.25" customHeight="1" x14ac:dyDescent="0.25">
      <c r="A819" s="92"/>
      <c r="C819" s="104"/>
      <c r="D819" s="92"/>
      <c r="E819" s="104"/>
      <c r="I819" s="106"/>
      <c r="J819" s="106"/>
      <c r="K819" s="94"/>
    </row>
    <row r="820" spans="1:11" ht="23.25" customHeight="1" x14ac:dyDescent="0.25">
      <c r="A820" s="92"/>
      <c r="C820" s="104"/>
      <c r="D820" s="92"/>
      <c r="E820" s="104"/>
      <c r="H820" s="106"/>
      <c r="I820" s="106"/>
      <c r="J820" s="106"/>
      <c r="K820" s="94"/>
    </row>
    <row r="821" spans="1:11" ht="23.25" customHeight="1" x14ac:dyDescent="0.25">
      <c r="A821" s="92"/>
      <c r="C821" s="104"/>
      <c r="D821" s="92"/>
      <c r="E821" s="104"/>
      <c r="I821" s="106"/>
      <c r="J821" s="106"/>
      <c r="K821" s="94"/>
    </row>
    <row r="822" spans="1:11" ht="23.25" customHeight="1" x14ac:dyDescent="0.25">
      <c r="A822" s="92"/>
      <c r="C822" s="104"/>
      <c r="D822" s="92"/>
      <c r="E822" s="104"/>
      <c r="H822" s="106"/>
      <c r="I822" s="106"/>
      <c r="J822" s="106"/>
      <c r="K822" s="94"/>
    </row>
    <row r="823" spans="1:11" ht="23.25" customHeight="1" x14ac:dyDescent="0.25">
      <c r="A823" s="92"/>
      <c r="C823" s="104"/>
      <c r="D823" s="92"/>
      <c r="E823" s="104"/>
      <c r="I823" s="106"/>
      <c r="J823" s="106"/>
      <c r="K823" s="94"/>
    </row>
    <row r="824" spans="1:11" ht="23.25" customHeight="1" x14ac:dyDescent="0.25">
      <c r="A824" s="92"/>
      <c r="C824" s="104"/>
      <c r="D824" s="92"/>
      <c r="E824" s="104"/>
      <c r="I824" s="106"/>
      <c r="J824" s="106"/>
      <c r="K824" s="94"/>
    </row>
    <row r="825" spans="1:11" ht="23.25" customHeight="1" x14ac:dyDescent="0.25">
      <c r="A825" s="92"/>
      <c r="C825" s="104"/>
      <c r="D825" s="92"/>
      <c r="E825" s="104"/>
      <c r="I825" s="106"/>
      <c r="J825" s="106"/>
      <c r="K825" s="94"/>
    </row>
    <row r="826" spans="1:11" ht="23.25" customHeight="1" x14ac:dyDescent="0.25">
      <c r="A826" s="92"/>
      <c r="C826" s="104"/>
      <c r="D826" s="92"/>
      <c r="E826" s="104"/>
      <c r="I826" s="106"/>
      <c r="J826" s="106"/>
      <c r="K826" s="94"/>
    </row>
    <row r="827" spans="1:11" ht="23.25" customHeight="1" x14ac:dyDescent="0.25">
      <c r="A827" s="92"/>
      <c r="C827" s="104"/>
      <c r="D827" s="92"/>
      <c r="E827" s="104"/>
      <c r="H827" s="106"/>
      <c r="I827" s="106"/>
      <c r="J827" s="106"/>
      <c r="K827" s="94"/>
    </row>
    <row r="828" spans="1:11" ht="23.25" customHeight="1" x14ac:dyDescent="0.25">
      <c r="A828" s="92"/>
      <c r="C828" s="96"/>
      <c r="D828" s="92"/>
      <c r="E828" s="104"/>
      <c r="H828" s="106"/>
      <c r="I828" s="106"/>
      <c r="J828" s="106"/>
      <c r="K828" s="94"/>
    </row>
    <row r="829" spans="1:11" ht="23.25" customHeight="1" x14ac:dyDescent="0.25">
      <c r="A829" s="92"/>
      <c r="C829" s="96"/>
      <c r="D829" s="92"/>
      <c r="E829" s="104"/>
      <c r="I829" s="106"/>
      <c r="J829" s="106"/>
      <c r="K829" s="94"/>
    </row>
    <row r="830" spans="1:11" ht="23.25" customHeight="1" x14ac:dyDescent="0.25">
      <c r="A830" s="92"/>
      <c r="C830" s="96"/>
      <c r="D830" s="92"/>
      <c r="E830" s="104"/>
      <c r="I830" s="106"/>
      <c r="J830" s="106"/>
      <c r="K830" s="94"/>
    </row>
    <row r="831" spans="1:11" ht="23.25" customHeight="1" x14ac:dyDescent="0.25">
      <c r="A831" s="92"/>
      <c r="C831" s="96"/>
      <c r="D831" s="92"/>
      <c r="E831" s="104"/>
      <c r="H831" s="106"/>
      <c r="I831" s="106"/>
      <c r="J831" s="106"/>
      <c r="K831" s="94"/>
    </row>
    <row r="832" spans="1:11" ht="23.25" customHeight="1" x14ac:dyDescent="0.25">
      <c r="A832" s="92"/>
      <c r="C832" s="96"/>
      <c r="D832" s="92"/>
      <c r="E832" s="104"/>
      <c r="I832" s="106"/>
      <c r="J832" s="106"/>
      <c r="K832" s="94"/>
    </row>
    <row r="833" spans="1:11" ht="23.25" customHeight="1" x14ac:dyDescent="0.25">
      <c r="A833" s="92"/>
      <c r="C833" s="96"/>
      <c r="D833" s="92"/>
      <c r="E833" s="104"/>
      <c r="I833" s="106"/>
      <c r="J833" s="106"/>
      <c r="K833" s="94"/>
    </row>
    <row r="834" spans="1:11" ht="23.25" customHeight="1" x14ac:dyDescent="0.25">
      <c r="A834" s="92"/>
      <c r="C834" s="96"/>
      <c r="D834" s="92"/>
      <c r="E834" s="104"/>
      <c r="I834" s="106"/>
      <c r="J834" s="106"/>
      <c r="K834" s="94"/>
    </row>
    <row r="835" spans="1:11" ht="23.25" customHeight="1" x14ac:dyDescent="0.25">
      <c r="A835" s="92"/>
      <c r="C835" s="96"/>
      <c r="D835" s="92"/>
      <c r="E835" s="104"/>
      <c r="H835" s="106"/>
      <c r="I835" s="106"/>
      <c r="J835" s="106"/>
      <c r="K835" s="94"/>
    </row>
    <row r="836" spans="1:11" ht="23.25" customHeight="1" x14ac:dyDescent="0.25">
      <c r="A836" s="92"/>
      <c r="C836" s="96"/>
      <c r="D836" s="92"/>
      <c r="E836" s="104"/>
      <c r="I836" s="106"/>
      <c r="J836" s="106"/>
      <c r="K836" s="94"/>
    </row>
    <row r="837" spans="1:11" ht="23.25" customHeight="1" x14ac:dyDescent="0.25">
      <c r="A837" s="92"/>
      <c r="C837" s="96"/>
      <c r="D837" s="92"/>
      <c r="E837" s="104"/>
      <c r="H837" s="106"/>
      <c r="I837" s="106"/>
      <c r="J837" s="106"/>
      <c r="K837" s="94"/>
    </row>
    <row r="838" spans="1:11" ht="23.25" customHeight="1" x14ac:dyDescent="0.25">
      <c r="A838" s="92"/>
      <c r="C838" s="96"/>
      <c r="D838" s="92"/>
      <c r="E838" s="104"/>
      <c r="H838" s="106"/>
      <c r="I838" s="106"/>
      <c r="J838" s="106"/>
      <c r="K838" s="94"/>
    </row>
    <row r="839" spans="1:11" ht="23.25" customHeight="1" x14ac:dyDescent="0.25">
      <c r="A839" s="92"/>
      <c r="C839" s="96"/>
      <c r="D839" s="92"/>
      <c r="E839" s="104"/>
      <c r="I839" s="106"/>
      <c r="J839" s="106"/>
      <c r="K839" s="94"/>
    </row>
    <row r="840" spans="1:11" ht="23.25" customHeight="1" x14ac:dyDescent="0.25">
      <c r="A840" s="92"/>
      <c r="C840" s="96"/>
      <c r="D840" s="92"/>
      <c r="E840" s="104"/>
      <c r="H840" s="106"/>
      <c r="I840" s="106"/>
      <c r="J840" s="106"/>
      <c r="K840" s="94"/>
    </row>
    <row r="841" spans="1:11" ht="23.25" customHeight="1" x14ac:dyDescent="0.25">
      <c r="A841" s="92"/>
      <c r="C841" s="96"/>
      <c r="D841" s="92"/>
      <c r="E841" s="104"/>
      <c r="I841" s="106"/>
      <c r="J841" s="106"/>
      <c r="K841" s="94"/>
    </row>
    <row r="842" spans="1:11" ht="23.25" customHeight="1" x14ac:dyDescent="0.25">
      <c r="A842" s="92"/>
      <c r="C842" s="104"/>
      <c r="D842" s="92"/>
      <c r="E842" s="104"/>
      <c r="I842" s="106"/>
      <c r="J842" s="106"/>
      <c r="K842" s="94"/>
    </row>
    <row r="843" spans="1:11" ht="23.25" customHeight="1" x14ac:dyDescent="0.25">
      <c r="A843" s="92"/>
      <c r="C843" s="104"/>
      <c r="D843" s="92"/>
      <c r="E843" s="104"/>
      <c r="I843" s="106"/>
      <c r="J843" s="106"/>
      <c r="K843" s="94"/>
    </row>
    <row r="844" spans="1:11" ht="23.25" customHeight="1" x14ac:dyDescent="0.25">
      <c r="A844" s="92"/>
      <c r="C844" s="104"/>
      <c r="D844" s="92"/>
      <c r="E844" s="104"/>
      <c r="I844" s="106"/>
      <c r="J844" s="106"/>
      <c r="K844" s="94"/>
    </row>
    <row r="845" spans="1:11" ht="23.25" customHeight="1" x14ac:dyDescent="0.25">
      <c r="A845" s="92"/>
      <c r="C845" s="104"/>
      <c r="D845" s="92"/>
      <c r="E845" s="104"/>
      <c r="I845" s="106"/>
      <c r="J845" s="106"/>
      <c r="K845" s="94"/>
    </row>
    <row r="846" spans="1:11" ht="23.25" customHeight="1" x14ac:dyDescent="0.25">
      <c r="A846" s="92"/>
      <c r="C846" s="104"/>
      <c r="D846" s="92"/>
      <c r="E846" s="104"/>
      <c r="I846" s="106"/>
      <c r="J846" s="106"/>
      <c r="K846" s="94"/>
    </row>
    <row r="847" spans="1:11" ht="23.25" customHeight="1" x14ac:dyDescent="0.25">
      <c r="A847" s="92"/>
      <c r="C847" s="104"/>
      <c r="D847" s="92"/>
      <c r="E847" s="104"/>
      <c r="I847" s="106"/>
      <c r="J847" s="106"/>
      <c r="K847" s="94"/>
    </row>
    <row r="848" spans="1:11" ht="23.25" customHeight="1" x14ac:dyDescent="0.25">
      <c r="A848" s="92"/>
      <c r="C848" s="104"/>
      <c r="D848" s="92"/>
      <c r="E848" s="104"/>
      <c r="I848" s="106"/>
      <c r="J848" s="106"/>
      <c r="K848" s="94"/>
    </row>
    <row r="849" spans="1:11" ht="23.25" customHeight="1" x14ac:dyDescent="0.25">
      <c r="A849" s="92"/>
      <c r="C849" s="104"/>
      <c r="D849" s="92"/>
      <c r="E849" s="104"/>
      <c r="I849" s="106"/>
      <c r="J849" s="106"/>
      <c r="K849" s="94"/>
    </row>
    <row r="850" spans="1:11" ht="23.25" customHeight="1" x14ac:dyDescent="0.25">
      <c r="A850" s="92"/>
      <c r="C850" s="104"/>
      <c r="D850" s="92"/>
      <c r="E850" s="104"/>
      <c r="I850" s="106"/>
      <c r="J850" s="106"/>
      <c r="K850" s="94"/>
    </row>
    <row r="851" spans="1:11" ht="23.25" customHeight="1" x14ac:dyDescent="0.25">
      <c r="A851" s="92"/>
      <c r="C851" s="104"/>
      <c r="D851" s="92"/>
      <c r="E851" s="104"/>
      <c r="I851" s="106"/>
      <c r="J851" s="106"/>
      <c r="K851" s="94"/>
    </row>
    <row r="852" spans="1:11" ht="23.25" customHeight="1" x14ac:dyDescent="0.25">
      <c r="A852" s="92"/>
      <c r="C852" s="104"/>
      <c r="D852" s="92"/>
      <c r="E852" s="104"/>
      <c r="I852" s="106"/>
      <c r="J852" s="106"/>
      <c r="K852" s="94"/>
    </row>
    <row r="853" spans="1:11" ht="23.25" customHeight="1" x14ac:dyDescent="0.25">
      <c r="A853" s="92"/>
      <c r="C853" s="104"/>
      <c r="D853" s="92"/>
      <c r="E853" s="104"/>
      <c r="I853" s="106"/>
      <c r="J853" s="106"/>
      <c r="K853" s="94"/>
    </row>
    <row r="854" spans="1:11" ht="23.25" customHeight="1" x14ac:dyDescent="0.25">
      <c r="A854" s="92"/>
      <c r="C854" s="104"/>
      <c r="D854" s="92"/>
      <c r="E854" s="104"/>
      <c r="I854" s="106"/>
      <c r="J854" s="106"/>
      <c r="K854" s="94"/>
    </row>
    <row r="855" spans="1:11" ht="23.25" customHeight="1" x14ac:dyDescent="0.25">
      <c r="A855" s="92"/>
      <c r="C855" s="104"/>
      <c r="D855" s="92"/>
      <c r="E855" s="104"/>
      <c r="I855" s="106"/>
      <c r="J855" s="106"/>
      <c r="K855" s="94"/>
    </row>
    <row r="856" spans="1:11" ht="23.25" customHeight="1" x14ac:dyDescent="0.25">
      <c r="A856" s="92"/>
      <c r="C856" s="104"/>
      <c r="D856" s="92"/>
      <c r="E856" s="104"/>
      <c r="I856" s="106"/>
      <c r="J856" s="106"/>
      <c r="K856" s="94"/>
    </row>
    <row r="857" spans="1:11" ht="23.25" customHeight="1" x14ac:dyDescent="0.25">
      <c r="A857" s="92"/>
      <c r="C857" s="104"/>
      <c r="D857" s="92"/>
      <c r="E857" s="104"/>
      <c r="I857" s="106"/>
      <c r="J857" s="106"/>
      <c r="K857" s="94"/>
    </row>
    <row r="858" spans="1:11" ht="23.25" customHeight="1" x14ac:dyDescent="0.25">
      <c r="A858" s="92"/>
      <c r="C858" s="104"/>
      <c r="D858" s="92"/>
      <c r="E858" s="104"/>
      <c r="I858" s="106"/>
      <c r="J858" s="106"/>
      <c r="K858" s="94"/>
    </row>
    <row r="859" spans="1:11" ht="23.25" customHeight="1" x14ac:dyDescent="0.25">
      <c r="A859" s="92"/>
      <c r="C859" s="104"/>
      <c r="D859" s="92"/>
      <c r="E859" s="104"/>
      <c r="I859" s="106"/>
      <c r="J859" s="106"/>
      <c r="K859" s="94"/>
    </row>
    <row r="860" spans="1:11" ht="23.25" customHeight="1" x14ac:dyDescent="0.25">
      <c r="A860" s="92"/>
      <c r="C860" s="104"/>
      <c r="D860" s="92"/>
      <c r="E860" s="104"/>
      <c r="I860" s="106"/>
      <c r="J860" s="106"/>
      <c r="K860" s="94"/>
    </row>
    <row r="861" spans="1:11" ht="23.25" customHeight="1" x14ac:dyDescent="0.25">
      <c r="A861" s="92"/>
      <c r="C861" s="104"/>
      <c r="D861" s="92"/>
      <c r="E861" s="104"/>
      <c r="I861" s="106"/>
      <c r="J861" s="106"/>
      <c r="K861" s="94"/>
    </row>
    <row r="862" spans="1:11" ht="23.25" customHeight="1" x14ac:dyDescent="0.25">
      <c r="A862" s="92"/>
      <c r="C862" s="104"/>
      <c r="D862" s="92"/>
      <c r="E862" s="104"/>
      <c r="I862" s="106"/>
      <c r="J862" s="106"/>
      <c r="K862" s="94"/>
    </row>
    <row r="863" spans="1:11" ht="23.25" customHeight="1" x14ac:dyDescent="0.25">
      <c r="A863" s="92"/>
      <c r="C863" s="104"/>
      <c r="D863" s="92"/>
      <c r="E863" s="104"/>
      <c r="I863" s="106"/>
      <c r="J863" s="106"/>
      <c r="K863" s="94"/>
    </row>
    <row r="864" spans="1:11" ht="23.25" customHeight="1" x14ac:dyDescent="0.25">
      <c r="A864" s="92"/>
      <c r="C864" s="104"/>
      <c r="D864" s="92"/>
      <c r="E864" s="104"/>
      <c r="I864" s="106"/>
      <c r="J864" s="106"/>
      <c r="K864" s="94"/>
    </row>
    <row r="865" spans="1:11" ht="23.25" customHeight="1" x14ac:dyDescent="0.25">
      <c r="A865" s="92"/>
      <c r="C865" s="104"/>
      <c r="D865" s="92"/>
      <c r="E865" s="104"/>
      <c r="I865" s="106"/>
      <c r="J865" s="106"/>
      <c r="K865" s="94"/>
    </row>
    <row r="866" spans="1:11" ht="23.25" customHeight="1" x14ac:dyDescent="0.25">
      <c r="A866" s="92"/>
      <c r="C866" s="104"/>
      <c r="D866" s="92"/>
      <c r="E866" s="104"/>
      <c r="I866" s="106"/>
      <c r="J866" s="106"/>
      <c r="K866" s="94"/>
    </row>
    <row r="867" spans="1:11" ht="23.25" customHeight="1" x14ac:dyDescent="0.25">
      <c r="A867" s="92"/>
      <c r="C867" s="104"/>
      <c r="D867" s="92"/>
      <c r="E867" s="104"/>
      <c r="I867" s="106"/>
      <c r="J867" s="106"/>
      <c r="K867" s="94"/>
    </row>
    <row r="868" spans="1:11" ht="23.25" customHeight="1" x14ac:dyDescent="0.25">
      <c r="A868" s="92"/>
      <c r="C868" s="104"/>
      <c r="D868" s="92"/>
      <c r="E868" s="104"/>
      <c r="I868" s="106"/>
      <c r="J868" s="106"/>
      <c r="K868" s="94"/>
    </row>
    <row r="869" spans="1:11" ht="23.25" customHeight="1" x14ac:dyDescent="0.25">
      <c r="A869" s="92"/>
      <c r="C869" s="104"/>
      <c r="D869" s="92"/>
      <c r="E869" s="104"/>
      <c r="I869" s="106"/>
      <c r="J869" s="106"/>
      <c r="K869" s="94"/>
    </row>
    <row r="870" spans="1:11" ht="23.25" customHeight="1" x14ac:dyDescent="0.25">
      <c r="A870" s="92"/>
      <c r="C870" s="104"/>
      <c r="D870" s="92"/>
      <c r="E870" s="104"/>
      <c r="I870" s="106"/>
      <c r="J870" s="106"/>
      <c r="K870" s="94"/>
    </row>
    <row r="871" spans="1:11" ht="23.25" customHeight="1" x14ac:dyDescent="0.25">
      <c r="A871" s="92"/>
      <c r="C871" s="104"/>
      <c r="D871" s="92"/>
      <c r="E871" s="104"/>
      <c r="I871" s="106"/>
      <c r="J871" s="106"/>
      <c r="K871" s="94"/>
    </row>
    <row r="872" spans="1:11" ht="23.25" customHeight="1" x14ac:dyDescent="0.25">
      <c r="A872" s="92"/>
      <c r="C872" s="104"/>
      <c r="D872" s="92"/>
      <c r="E872" s="104"/>
      <c r="I872" s="106"/>
      <c r="J872" s="106"/>
      <c r="K872" s="94"/>
    </row>
    <row r="873" spans="1:11" ht="23.25" customHeight="1" x14ac:dyDescent="0.25">
      <c r="A873" s="92"/>
      <c r="B873" s="114"/>
      <c r="C873" s="104"/>
      <c r="D873" s="92"/>
      <c r="E873" s="104"/>
      <c r="I873" s="106"/>
      <c r="J873" s="106"/>
      <c r="K873" s="94"/>
    </row>
    <row r="874" spans="1:11" ht="23.25" customHeight="1" x14ac:dyDescent="0.25">
      <c r="A874" s="92"/>
      <c r="C874" s="104"/>
      <c r="D874" s="92"/>
      <c r="E874" s="104"/>
      <c r="I874" s="106"/>
      <c r="J874" s="106"/>
      <c r="K874" s="94"/>
    </row>
    <row r="875" spans="1:11" ht="23.25" customHeight="1" x14ac:dyDescent="0.25">
      <c r="A875" s="92"/>
      <c r="C875" s="104"/>
      <c r="D875" s="92"/>
      <c r="E875" s="104"/>
      <c r="I875" s="106"/>
      <c r="J875" s="106"/>
      <c r="K875" s="94"/>
    </row>
    <row r="876" spans="1:11" ht="23.25" customHeight="1" x14ac:dyDescent="0.25">
      <c r="A876" s="92"/>
      <c r="C876" s="104"/>
      <c r="D876" s="92"/>
      <c r="E876" s="104"/>
      <c r="I876" s="106"/>
      <c r="J876" s="106"/>
      <c r="K876" s="94"/>
    </row>
    <row r="877" spans="1:11" ht="23.25" customHeight="1" x14ac:dyDescent="0.25">
      <c r="A877" s="92"/>
      <c r="C877" s="104"/>
      <c r="D877" s="92"/>
      <c r="E877" s="104"/>
      <c r="I877" s="106"/>
      <c r="J877" s="106"/>
      <c r="K877" s="94"/>
    </row>
    <row r="878" spans="1:11" ht="23.25" customHeight="1" x14ac:dyDescent="0.25">
      <c r="A878" s="92"/>
      <c r="C878" s="104"/>
      <c r="D878" s="92"/>
      <c r="E878" s="104"/>
      <c r="I878" s="106"/>
      <c r="J878" s="106"/>
      <c r="K878" s="94"/>
    </row>
    <row r="879" spans="1:11" ht="23.25" customHeight="1" x14ac:dyDescent="0.25">
      <c r="A879" s="92"/>
      <c r="C879" s="104"/>
      <c r="D879" s="92"/>
      <c r="E879" s="104"/>
      <c r="I879" s="106"/>
      <c r="J879" s="106"/>
      <c r="K879" s="94"/>
    </row>
    <row r="880" spans="1:11" ht="23.25" customHeight="1" x14ac:dyDescent="0.25">
      <c r="A880" s="92"/>
      <c r="C880" s="104"/>
      <c r="D880" s="92"/>
      <c r="E880" s="104"/>
      <c r="I880" s="106"/>
      <c r="J880" s="106"/>
      <c r="K880" s="94"/>
    </row>
    <row r="881" spans="1:11" ht="23.25" customHeight="1" x14ac:dyDescent="0.25">
      <c r="A881" s="92"/>
      <c r="C881" s="104"/>
      <c r="D881" s="92"/>
      <c r="E881" s="104"/>
      <c r="I881" s="106"/>
      <c r="J881" s="106"/>
      <c r="K881" s="94"/>
    </row>
    <row r="882" spans="1:11" ht="23.25" customHeight="1" x14ac:dyDescent="0.25">
      <c r="A882" s="92"/>
      <c r="C882" s="104"/>
      <c r="D882" s="92"/>
      <c r="E882" s="104"/>
      <c r="I882" s="106"/>
      <c r="J882" s="106"/>
      <c r="K882" s="94"/>
    </row>
    <row r="883" spans="1:11" ht="23.25" customHeight="1" x14ac:dyDescent="0.25">
      <c r="A883" s="92"/>
      <c r="C883" s="104"/>
      <c r="D883" s="92"/>
      <c r="E883" s="104"/>
      <c r="I883" s="106"/>
      <c r="J883" s="106"/>
      <c r="K883" s="94"/>
    </row>
    <row r="884" spans="1:11" ht="23.25" customHeight="1" x14ac:dyDescent="0.25">
      <c r="A884" s="92"/>
      <c r="C884" s="104"/>
      <c r="D884" s="92"/>
      <c r="E884" s="104"/>
      <c r="I884" s="106"/>
      <c r="J884" s="106"/>
      <c r="K884" s="94"/>
    </row>
    <row r="885" spans="1:11" ht="23.25" customHeight="1" x14ac:dyDescent="0.25">
      <c r="A885" s="92"/>
      <c r="C885" s="104"/>
      <c r="D885" s="92"/>
      <c r="E885" s="104"/>
      <c r="I885" s="106"/>
      <c r="J885" s="106"/>
      <c r="K885" s="94"/>
    </row>
    <row r="886" spans="1:11" ht="23.25" customHeight="1" x14ac:dyDescent="0.25">
      <c r="A886" s="92"/>
      <c r="C886" s="104"/>
      <c r="D886" s="92"/>
      <c r="E886" s="104"/>
      <c r="I886" s="106"/>
      <c r="J886" s="106"/>
      <c r="K886" s="94"/>
    </row>
    <row r="887" spans="1:11" ht="23.25" customHeight="1" x14ac:dyDescent="0.25">
      <c r="A887" s="92"/>
      <c r="C887" s="104"/>
      <c r="D887" s="92"/>
      <c r="E887" s="104"/>
      <c r="I887" s="106"/>
      <c r="J887" s="106"/>
      <c r="K887" s="94"/>
    </row>
    <row r="888" spans="1:11" ht="23.25" customHeight="1" x14ac:dyDescent="0.25">
      <c r="A888" s="92"/>
      <c r="C888" s="104"/>
      <c r="D888" s="92"/>
      <c r="E888" s="104"/>
      <c r="I888" s="106"/>
      <c r="J888" s="106"/>
      <c r="K888" s="94"/>
    </row>
    <row r="889" spans="1:11" ht="23.25" customHeight="1" x14ac:dyDescent="0.25">
      <c r="A889" s="92"/>
      <c r="B889" s="108"/>
      <c r="C889" s="104"/>
      <c r="D889" s="104"/>
      <c r="E889" s="104"/>
      <c r="F889" s="105"/>
      <c r="G889" s="105"/>
      <c r="H889" s="106"/>
      <c r="I889" s="106"/>
      <c r="J889" s="106"/>
      <c r="K889" s="94"/>
    </row>
    <row r="890" spans="1:11" ht="23.25" customHeight="1" x14ac:dyDescent="0.25">
      <c r="A890" s="92"/>
      <c r="B890" s="108"/>
      <c r="C890" s="104"/>
      <c r="D890" s="104"/>
      <c r="E890" s="104"/>
      <c r="F890" s="105"/>
      <c r="G890" s="105"/>
      <c r="H890" s="106"/>
      <c r="I890" s="106"/>
      <c r="J890" s="106"/>
      <c r="K890" s="94"/>
    </row>
    <row r="891" spans="1:11" ht="23.25" customHeight="1" x14ac:dyDescent="0.25">
      <c r="A891" s="92"/>
      <c r="B891" s="108"/>
      <c r="C891" s="104"/>
      <c r="D891" s="104"/>
      <c r="E891" s="104"/>
      <c r="F891" s="105"/>
      <c r="G891" s="105"/>
      <c r="H891" s="106"/>
      <c r="I891" s="106"/>
      <c r="J891" s="106"/>
      <c r="K891" s="94"/>
    </row>
    <row r="892" spans="1:11" ht="23.25" customHeight="1" x14ac:dyDescent="0.25">
      <c r="A892" s="92"/>
      <c r="B892" s="108"/>
      <c r="C892" s="104"/>
      <c r="D892" s="104"/>
      <c r="E892" s="104"/>
      <c r="F892" s="105"/>
      <c r="G892" s="105"/>
      <c r="H892" s="106"/>
      <c r="I892" s="106"/>
      <c r="J892" s="106"/>
      <c r="K892" s="94"/>
    </row>
    <row r="893" spans="1:11" ht="23.25" customHeight="1" x14ac:dyDescent="0.25">
      <c r="A893" s="92"/>
      <c r="B893" s="108"/>
      <c r="C893" s="104"/>
      <c r="D893" s="104"/>
      <c r="E893" s="104"/>
      <c r="F893" s="105"/>
      <c r="G893" s="105"/>
      <c r="H893" s="106"/>
      <c r="I893" s="106"/>
      <c r="J893" s="106"/>
      <c r="K893" s="94"/>
    </row>
    <row r="894" spans="1:11" ht="23.25" customHeight="1" x14ac:dyDescent="0.25">
      <c r="A894" s="92"/>
      <c r="B894" s="108"/>
      <c r="C894" s="104"/>
      <c r="D894" s="104"/>
      <c r="E894" s="104"/>
      <c r="F894" s="105"/>
      <c r="G894" s="105"/>
      <c r="H894" s="106"/>
      <c r="I894" s="106"/>
      <c r="J894" s="106"/>
      <c r="K894" s="94"/>
    </row>
    <row r="895" spans="1:11" ht="23.25" customHeight="1" x14ac:dyDescent="0.25">
      <c r="A895" s="92"/>
      <c r="B895" s="108"/>
      <c r="C895" s="104"/>
      <c r="D895" s="104"/>
      <c r="E895" s="104"/>
      <c r="F895" s="105"/>
      <c r="G895" s="105"/>
      <c r="H895" s="106"/>
      <c r="I895" s="106"/>
      <c r="J895" s="106"/>
      <c r="K895" s="94"/>
    </row>
    <row r="896" spans="1:11" ht="23.25" customHeight="1" x14ac:dyDescent="0.25">
      <c r="A896" s="92"/>
      <c r="B896" s="108"/>
      <c r="C896" s="104"/>
      <c r="D896" s="104"/>
      <c r="E896" s="104"/>
      <c r="F896" s="105"/>
      <c r="G896" s="105"/>
      <c r="H896" s="106"/>
      <c r="I896" s="106"/>
      <c r="J896" s="106"/>
      <c r="K896" s="94"/>
    </row>
    <row r="897" spans="1:11" ht="23.25" customHeight="1" x14ac:dyDescent="0.25">
      <c r="A897" s="92"/>
      <c r="B897" s="108"/>
      <c r="C897" s="104"/>
      <c r="D897" s="104"/>
      <c r="E897" s="104"/>
      <c r="F897" s="105"/>
      <c r="G897" s="105"/>
      <c r="H897" s="106"/>
      <c r="I897" s="106"/>
      <c r="J897" s="106"/>
      <c r="K897" s="94"/>
    </row>
    <row r="898" spans="1:11" ht="23.25" customHeight="1" x14ac:dyDescent="0.25">
      <c r="A898" s="92"/>
      <c r="B898" s="108"/>
      <c r="C898" s="104"/>
      <c r="D898" s="104"/>
      <c r="E898" s="104"/>
      <c r="F898" s="105"/>
      <c r="G898" s="105"/>
      <c r="H898" s="106"/>
      <c r="I898" s="106"/>
      <c r="J898" s="106"/>
      <c r="K898" s="94"/>
    </row>
    <row r="899" spans="1:11" ht="23.25" customHeight="1" x14ac:dyDescent="0.25">
      <c r="A899" s="92"/>
      <c r="B899" s="108"/>
      <c r="C899" s="104"/>
      <c r="D899" s="104"/>
      <c r="E899" s="104"/>
      <c r="F899" s="105"/>
      <c r="G899" s="105"/>
      <c r="H899" s="106"/>
      <c r="I899" s="106"/>
      <c r="J899" s="106"/>
      <c r="K899" s="94"/>
    </row>
    <row r="900" spans="1:11" ht="23.25" customHeight="1" x14ac:dyDescent="0.25">
      <c r="A900" s="92"/>
      <c r="B900" s="108"/>
      <c r="C900" s="104"/>
      <c r="D900" s="104"/>
      <c r="E900" s="104"/>
      <c r="F900" s="105"/>
      <c r="G900" s="105"/>
      <c r="H900" s="106"/>
      <c r="I900" s="106"/>
      <c r="J900" s="106"/>
      <c r="K900" s="94"/>
    </row>
    <row r="901" spans="1:11" ht="23.25" customHeight="1" x14ac:dyDescent="0.25">
      <c r="A901" s="92"/>
      <c r="B901" s="108"/>
      <c r="C901" s="104"/>
      <c r="D901" s="104"/>
      <c r="E901" s="104"/>
      <c r="F901" s="105"/>
      <c r="G901" s="105"/>
      <c r="H901" s="106"/>
      <c r="I901" s="106"/>
      <c r="J901" s="106"/>
      <c r="K901" s="94"/>
    </row>
    <row r="902" spans="1:11" ht="23.25" customHeight="1" x14ac:dyDescent="0.25">
      <c r="A902" s="92"/>
      <c r="B902" s="108"/>
      <c r="C902" s="104"/>
      <c r="D902" s="104"/>
      <c r="E902" s="104"/>
      <c r="F902" s="105"/>
      <c r="G902" s="105"/>
      <c r="H902" s="106"/>
      <c r="I902" s="106"/>
      <c r="J902" s="106"/>
      <c r="K902" s="94"/>
    </row>
    <row r="903" spans="1:11" ht="23.25" customHeight="1" x14ac:dyDescent="0.25">
      <c r="A903" s="92"/>
      <c r="B903" s="108"/>
      <c r="C903" s="104"/>
      <c r="D903" s="104"/>
      <c r="E903" s="104"/>
      <c r="F903" s="105"/>
      <c r="G903" s="105"/>
      <c r="H903" s="106"/>
      <c r="I903" s="106"/>
      <c r="J903" s="106"/>
      <c r="K903" s="94"/>
    </row>
    <row r="904" spans="1:11" ht="23.25" customHeight="1" x14ac:dyDescent="0.25">
      <c r="A904" s="92"/>
      <c r="B904" s="108"/>
      <c r="C904" s="104"/>
      <c r="D904" s="104"/>
      <c r="E904" s="104"/>
      <c r="F904" s="105"/>
      <c r="G904" s="105"/>
      <c r="H904" s="106"/>
      <c r="I904" s="106"/>
      <c r="J904" s="106"/>
      <c r="K904" s="94"/>
    </row>
    <row r="905" spans="1:11" ht="23.25" customHeight="1" x14ac:dyDescent="0.25">
      <c r="A905" s="92"/>
      <c r="B905" s="108"/>
      <c r="C905" s="104"/>
      <c r="D905" s="104"/>
      <c r="E905" s="104"/>
      <c r="F905" s="105"/>
      <c r="G905" s="105"/>
      <c r="H905" s="106"/>
      <c r="I905" s="106"/>
      <c r="J905" s="106"/>
      <c r="K905" s="94"/>
    </row>
    <row r="906" spans="1:11" ht="23.25" customHeight="1" x14ac:dyDescent="0.25">
      <c r="A906" s="92"/>
      <c r="B906" s="108"/>
      <c r="C906" s="104"/>
      <c r="D906" s="104"/>
      <c r="E906" s="104"/>
      <c r="F906" s="105"/>
      <c r="G906" s="105"/>
      <c r="H906" s="106"/>
      <c r="I906" s="106"/>
      <c r="J906" s="106"/>
      <c r="K906" s="94"/>
    </row>
    <row r="907" spans="1:11" ht="23.25" customHeight="1" x14ac:dyDescent="0.25">
      <c r="A907" s="92"/>
      <c r="B907" s="108"/>
      <c r="C907" s="104"/>
      <c r="D907" s="104"/>
      <c r="E907" s="104"/>
      <c r="F907" s="105"/>
      <c r="G907" s="105"/>
      <c r="H907" s="106"/>
      <c r="I907" s="106"/>
      <c r="J907" s="106"/>
      <c r="K907" s="94"/>
    </row>
    <row r="908" spans="1:11" ht="23.25" customHeight="1" x14ac:dyDescent="0.25">
      <c r="A908" s="92"/>
      <c r="B908" s="108"/>
      <c r="C908" s="104"/>
      <c r="D908" s="104"/>
      <c r="E908" s="104"/>
      <c r="F908" s="105"/>
      <c r="G908" s="105"/>
      <c r="H908" s="106"/>
      <c r="I908" s="106"/>
      <c r="J908" s="106"/>
      <c r="K908" s="94"/>
    </row>
    <row r="909" spans="1:11" ht="23.25" customHeight="1" x14ac:dyDescent="0.25">
      <c r="A909" s="92"/>
      <c r="B909" s="108"/>
      <c r="C909" s="104"/>
      <c r="D909" s="104"/>
      <c r="E909" s="104"/>
      <c r="F909" s="105"/>
      <c r="G909" s="105"/>
      <c r="H909" s="106"/>
      <c r="I909" s="106"/>
      <c r="J909" s="106"/>
      <c r="K909" s="94"/>
    </row>
    <row r="910" spans="1:11" ht="23.25" customHeight="1" x14ac:dyDescent="0.25">
      <c r="A910" s="92"/>
      <c r="B910" s="108"/>
      <c r="C910" s="104"/>
      <c r="D910" s="104"/>
      <c r="E910" s="104"/>
      <c r="F910" s="105"/>
      <c r="G910" s="105"/>
      <c r="H910" s="106"/>
      <c r="I910" s="106"/>
      <c r="J910" s="106"/>
      <c r="K910" s="94"/>
    </row>
    <row r="911" spans="1:11" ht="23.25" customHeight="1" x14ac:dyDescent="0.25">
      <c r="A911" s="92"/>
      <c r="B911" s="108"/>
      <c r="C911" s="104"/>
      <c r="D911" s="104"/>
      <c r="E911" s="104"/>
      <c r="F911" s="105"/>
      <c r="G911" s="105"/>
      <c r="H911" s="106"/>
      <c r="I911" s="106"/>
      <c r="J911" s="106"/>
      <c r="K911" s="94"/>
    </row>
    <row r="912" spans="1:11" ht="23.25" customHeight="1" x14ac:dyDescent="0.25">
      <c r="A912" s="92"/>
      <c r="B912" s="108"/>
      <c r="C912" s="104"/>
      <c r="D912" s="104"/>
      <c r="E912" s="104"/>
      <c r="F912" s="105"/>
      <c r="G912" s="105"/>
      <c r="H912" s="106"/>
      <c r="I912" s="106"/>
      <c r="J912" s="106"/>
      <c r="K912" s="94"/>
    </row>
    <row r="913" spans="1:11" ht="23.25" customHeight="1" x14ac:dyDescent="0.25">
      <c r="A913" s="92"/>
      <c r="B913" s="108"/>
      <c r="C913" s="104"/>
      <c r="D913" s="104"/>
      <c r="E913" s="104"/>
      <c r="F913" s="105"/>
      <c r="G913" s="105"/>
      <c r="H913" s="106"/>
      <c r="I913" s="106"/>
      <c r="J913" s="106"/>
      <c r="K913" s="94"/>
    </row>
    <row r="914" spans="1:11" ht="23.25" customHeight="1" x14ac:dyDescent="0.25">
      <c r="A914" s="92"/>
      <c r="B914" s="108"/>
      <c r="C914" s="104"/>
      <c r="D914" s="104"/>
      <c r="E914" s="104"/>
      <c r="F914" s="105"/>
      <c r="G914" s="105"/>
      <c r="H914" s="106"/>
      <c r="I914" s="106"/>
      <c r="J914" s="106"/>
      <c r="K914" s="94"/>
    </row>
    <row r="915" spans="1:11" ht="23.25" customHeight="1" x14ac:dyDescent="0.25">
      <c r="A915" s="92"/>
      <c r="B915" s="108"/>
      <c r="C915" s="104"/>
      <c r="D915" s="104"/>
      <c r="E915" s="104"/>
      <c r="F915" s="105"/>
      <c r="G915" s="105"/>
      <c r="H915" s="106"/>
      <c r="I915" s="106"/>
      <c r="J915" s="106"/>
      <c r="K915" s="94"/>
    </row>
    <row r="916" spans="1:11" ht="23.25" customHeight="1" x14ac:dyDescent="0.25">
      <c r="A916" s="92"/>
      <c r="B916" s="108"/>
      <c r="C916" s="104"/>
      <c r="D916" s="104"/>
      <c r="E916" s="104"/>
      <c r="F916" s="105"/>
      <c r="G916" s="105"/>
      <c r="H916" s="106"/>
      <c r="I916" s="106"/>
      <c r="J916" s="106"/>
      <c r="K916" s="94"/>
    </row>
    <row r="917" spans="1:11" ht="23.25" customHeight="1" x14ac:dyDescent="0.25">
      <c r="A917" s="92"/>
      <c r="B917" s="108"/>
      <c r="C917" s="104"/>
      <c r="D917" s="104"/>
      <c r="E917" s="104"/>
      <c r="F917" s="105"/>
      <c r="G917" s="105"/>
      <c r="H917" s="106"/>
      <c r="I917" s="106"/>
      <c r="J917" s="106"/>
      <c r="K917" s="94"/>
    </row>
    <row r="918" spans="1:11" ht="23.25" customHeight="1" x14ac:dyDescent="0.25">
      <c r="A918" s="92"/>
      <c r="B918" s="108"/>
      <c r="C918" s="104"/>
      <c r="D918" s="104"/>
      <c r="E918" s="104"/>
      <c r="F918" s="105"/>
      <c r="G918" s="105"/>
      <c r="H918" s="106"/>
      <c r="I918" s="106"/>
      <c r="J918" s="106"/>
      <c r="K918" s="94"/>
    </row>
    <row r="919" spans="1:11" ht="23.25" customHeight="1" x14ac:dyDescent="0.25">
      <c r="A919" s="92"/>
      <c r="B919" s="108"/>
      <c r="C919" s="104"/>
      <c r="D919" s="104"/>
      <c r="E919" s="104"/>
      <c r="F919" s="105"/>
      <c r="G919" s="105"/>
      <c r="H919" s="106"/>
      <c r="I919" s="106"/>
      <c r="J919" s="106"/>
      <c r="K919" s="94"/>
    </row>
    <row r="920" spans="1:11" ht="23.25" customHeight="1" x14ac:dyDescent="0.25">
      <c r="A920" s="92"/>
      <c r="B920" s="108"/>
      <c r="C920" s="104"/>
      <c r="D920" s="104"/>
      <c r="E920" s="104"/>
      <c r="F920" s="105"/>
      <c r="G920" s="105"/>
      <c r="H920" s="106"/>
      <c r="I920" s="106"/>
      <c r="J920" s="106"/>
      <c r="K920" s="94"/>
    </row>
    <row r="921" spans="1:11" ht="23.25" customHeight="1" x14ac:dyDescent="0.25">
      <c r="A921" s="92"/>
      <c r="B921" s="108"/>
      <c r="C921" s="104"/>
      <c r="D921" s="104"/>
      <c r="E921" s="104"/>
      <c r="F921" s="105"/>
      <c r="G921" s="105"/>
      <c r="H921" s="106"/>
      <c r="I921" s="106"/>
      <c r="J921" s="106"/>
      <c r="K921" s="94"/>
    </row>
    <row r="922" spans="1:11" ht="23.25" customHeight="1" x14ac:dyDescent="0.25">
      <c r="A922" s="92"/>
      <c r="B922" s="108"/>
      <c r="C922" s="104"/>
      <c r="D922" s="104"/>
      <c r="E922" s="104"/>
      <c r="F922" s="105"/>
      <c r="G922" s="105"/>
      <c r="H922" s="106"/>
      <c r="I922" s="106"/>
      <c r="J922" s="106"/>
      <c r="K922" s="94"/>
    </row>
    <row r="923" spans="1:11" ht="23.25" customHeight="1" x14ac:dyDescent="0.25">
      <c r="A923" s="92"/>
      <c r="B923" s="108"/>
      <c r="C923" s="104"/>
      <c r="D923" s="104"/>
      <c r="E923" s="104"/>
      <c r="F923" s="105"/>
      <c r="G923" s="105"/>
      <c r="H923" s="106"/>
      <c r="I923" s="106"/>
      <c r="J923" s="106"/>
      <c r="K923" s="94"/>
    </row>
    <row r="924" spans="1:11" ht="23.25" customHeight="1" x14ac:dyDescent="0.25">
      <c r="A924" s="92"/>
      <c r="B924" s="108"/>
      <c r="C924" s="104"/>
      <c r="D924" s="104"/>
      <c r="E924" s="104"/>
      <c r="F924" s="105"/>
      <c r="G924" s="105"/>
      <c r="H924" s="106"/>
      <c r="I924" s="106"/>
      <c r="J924" s="106"/>
      <c r="K924" s="94"/>
    </row>
    <row r="925" spans="1:11" ht="23.25" customHeight="1" x14ac:dyDescent="0.25">
      <c r="A925" s="92"/>
      <c r="B925" s="108"/>
      <c r="C925" s="104"/>
      <c r="D925" s="104"/>
      <c r="E925" s="104"/>
      <c r="F925" s="105"/>
      <c r="G925" s="105"/>
      <c r="H925" s="106"/>
      <c r="I925" s="106"/>
      <c r="J925" s="106"/>
      <c r="K925" s="94"/>
    </row>
    <row r="926" spans="1:11" ht="23.25" customHeight="1" x14ac:dyDescent="0.25">
      <c r="A926" s="92"/>
      <c r="B926" s="108"/>
      <c r="C926" s="104"/>
      <c r="D926" s="104"/>
      <c r="E926" s="104"/>
      <c r="F926" s="105"/>
      <c r="G926" s="105"/>
      <c r="H926" s="106"/>
      <c r="I926" s="106"/>
      <c r="J926" s="106"/>
      <c r="K926" s="94"/>
    </row>
    <row r="927" spans="1:11" ht="23.25" customHeight="1" x14ac:dyDescent="0.25">
      <c r="A927" s="92"/>
      <c r="B927" s="108"/>
      <c r="C927" s="104"/>
      <c r="D927" s="104"/>
      <c r="E927" s="104"/>
      <c r="F927" s="105"/>
      <c r="G927" s="105"/>
      <c r="H927" s="106"/>
      <c r="I927" s="106"/>
      <c r="J927" s="106"/>
      <c r="K927" s="94"/>
    </row>
    <row r="928" spans="1:11" ht="23.25" customHeight="1" x14ac:dyDescent="0.25">
      <c r="A928" s="92"/>
      <c r="B928" s="104"/>
      <c r="C928" s="104"/>
      <c r="D928" s="104"/>
      <c r="E928" s="104"/>
      <c r="F928" s="105"/>
      <c r="G928" s="105"/>
      <c r="H928" s="106"/>
      <c r="I928" s="106"/>
      <c r="J928" s="106"/>
      <c r="K928" s="94"/>
    </row>
    <row r="929" spans="1:11" ht="23.25" customHeight="1" x14ac:dyDescent="0.25">
      <c r="A929" s="92"/>
      <c r="B929" s="104"/>
      <c r="C929" s="104"/>
      <c r="D929" s="104"/>
      <c r="E929" s="104"/>
      <c r="F929" s="105"/>
      <c r="G929" s="105"/>
      <c r="H929" s="106"/>
      <c r="I929" s="106"/>
      <c r="J929" s="106"/>
      <c r="K929" s="94"/>
    </row>
    <row r="930" spans="1:11" ht="23.25" customHeight="1" x14ac:dyDescent="0.25">
      <c r="A930" s="92"/>
      <c r="B930" s="104"/>
      <c r="C930" s="104"/>
      <c r="D930" s="104"/>
      <c r="E930" s="104"/>
      <c r="F930" s="105"/>
      <c r="G930" s="105"/>
      <c r="H930" s="106"/>
      <c r="I930" s="106"/>
      <c r="J930" s="106"/>
      <c r="K930" s="94"/>
    </row>
    <row r="931" spans="1:11" ht="23.25" customHeight="1" x14ac:dyDescent="0.25">
      <c r="A931" s="92"/>
      <c r="B931" s="104"/>
      <c r="C931" s="104"/>
      <c r="D931" s="104"/>
      <c r="E931" s="104"/>
      <c r="F931" s="105"/>
      <c r="G931" s="105"/>
      <c r="H931" s="106"/>
      <c r="I931" s="106"/>
      <c r="J931" s="106"/>
      <c r="K931" s="94"/>
    </row>
    <row r="932" spans="1:11" ht="23.25" customHeight="1" x14ac:dyDescent="0.25">
      <c r="A932" s="92"/>
      <c r="B932" s="104"/>
      <c r="C932" s="104"/>
      <c r="D932" s="104"/>
      <c r="E932" s="104"/>
      <c r="F932" s="105"/>
      <c r="G932" s="105"/>
      <c r="H932" s="106"/>
      <c r="I932" s="106"/>
      <c r="J932" s="106"/>
      <c r="K932" s="94"/>
    </row>
    <row r="933" spans="1:11" ht="23.25" customHeight="1" x14ac:dyDescent="0.25">
      <c r="A933" s="92"/>
      <c r="B933" s="104"/>
      <c r="C933" s="104"/>
      <c r="D933" s="104"/>
      <c r="E933" s="104"/>
      <c r="F933" s="105"/>
      <c r="G933" s="105"/>
      <c r="H933" s="106"/>
      <c r="I933" s="106"/>
      <c r="J933" s="106"/>
      <c r="K933" s="94"/>
    </row>
    <row r="934" spans="1:11" ht="23.25" customHeight="1" x14ac:dyDescent="0.25">
      <c r="A934" s="92"/>
      <c r="B934" s="104"/>
      <c r="C934" s="104"/>
      <c r="D934" s="104"/>
      <c r="E934" s="104"/>
      <c r="F934" s="105"/>
      <c r="G934" s="105"/>
      <c r="H934" s="106"/>
      <c r="I934" s="106"/>
      <c r="J934" s="106"/>
      <c r="K934" s="94"/>
    </row>
    <row r="935" spans="1:11" ht="23.25" customHeight="1" x14ac:dyDescent="0.25">
      <c r="A935" s="92"/>
      <c r="B935" s="104"/>
      <c r="C935" s="104"/>
      <c r="D935" s="104"/>
      <c r="E935" s="104"/>
      <c r="F935" s="105"/>
      <c r="G935" s="105"/>
      <c r="H935" s="106"/>
      <c r="I935" s="106"/>
      <c r="J935" s="106"/>
      <c r="K935" s="94"/>
    </row>
    <row r="936" spans="1:11" ht="23.25" customHeight="1" x14ac:dyDescent="0.25">
      <c r="A936" s="92"/>
      <c r="B936" s="104"/>
      <c r="C936" s="104"/>
      <c r="D936" s="104"/>
      <c r="E936" s="104"/>
      <c r="F936" s="105"/>
      <c r="G936" s="105"/>
      <c r="H936" s="106"/>
      <c r="I936" s="106"/>
      <c r="J936" s="106"/>
      <c r="K936" s="94"/>
    </row>
    <row r="937" spans="1:11" ht="23.25" customHeight="1" x14ac:dyDescent="0.25">
      <c r="A937" s="92"/>
      <c r="B937" s="104"/>
      <c r="C937" s="104"/>
      <c r="D937" s="104"/>
      <c r="E937" s="104"/>
      <c r="F937" s="105"/>
      <c r="G937" s="105"/>
      <c r="H937" s="106"/>
      <c r="I937" s="106"/>
      <c r="J937" s="106"/>
      <c r="K937" s="94"/>
    </row>
    <row r="938" spans="1:11" ht="23.25" customHeight="1" x14ac:dyDescent="0.25">
      <c r="A938" s="92"/>
      <c r="B938" s="104"/>
      <c r="C938" s="104"/>
      <c r="D938" s="104"/>
      <c r="E938" s="104"/>
      <c r="F938" s="105"/>
      <c r="G938" s="105"/>
      <c r="H938" s="106"/>
      <c r="I938" s="106"/>
      <c r="J938" s="106"/>
      <c r="K938" s="94"/>
    </row>
    <row r="939" spans="1:11" ht="23.25" customHeight="1" x14ac:dyDescent="0.25">
      <c r="A939" s="92"/>
      <c r="B939" s="104"/>
      <c r="C939" s="104"/>
      <c r="D939" s="104"/>
      <c r="E939" s="104"/>
      <c r="F939" s="105"/>
      <c r="G939" s="105"/>
      <c r="H939" s="106"/>
      <c r="I939" s="106"/>
      <c r="J939" s="106"/>
      <c r="K939" s="94"/>
    </row>
    <row r="940" spans="1:11" ht="23.25" customHeight="1" x14ac:dyDescent="0.25">
      <c r="A940" s="92"/>
      <c r="B940" s="104"/>
      <c r="C940" s="104"/>
      <c r="D940" s="104"/>
      <c r="E940" s="104"/>
      <c r="F940" s="105"/>
      <c r="G940" s="105"/>
      <c r="H940" s="106"/>
      <c r="I940" s="106"/>
      <c r="J940" s="106"/>
      <c r="K940" s="94"/>
    </row>
    <row r="941" spans="1:11" ht="23.25" customHeight="1" x14ac:dyDescent="0.25">
      <c r="A941" s="92"/>
      <c r="B941" s="104"/>
      <c r="C941" s="104"/>
      <c r="D941" s="104"/>
      <c r="E941" s="104"/>
      <c r="F941" s="105"/>
      <c r="G941" s="105"/>
      <c r="H941" s="106"/>
      <c r="I941" s="106"/>
      <c r="J941" s="106"/>
      <c r="K941" s="94"/>
    </row>
    <row r="942" spans="1:11" ht="23.25" customHeight="1" x14ac:dyDescent="0.25">
      <c r="A942" s="92"/>
      <c r="B942" s="104"/>
      <c r="C942" s="104"/>
      <c r="D942" s="104"/>
      <c r="E942" s="104"/>
      <c r="F942" s="105"/>
      <c r="G942" s="105"/>
      <c r="H942" s="106"/>
      <c r="I942" s="106"/>
      <c r="J942" s="106"/>
      <c r="K942" s="94"/>
    </row>
    <row r="943" spans="1:11" ht="23.25" customHeight="1" x14ac:dyDescent="0.25">
      <c r="A943" s="92"/>
      <c r="B943" s="104"/>
      <c r="C943" s="104"/>
      <c r="D943" s="104"/>
      <c r="E943" s="104"/>
      <c r="F943" s="105"/>
      <c r="G943" s="105"/>
      <c r="H943" s="106"/>
      <c r="I943" s="106"/>
      <c r="J943" s="106"/>
      <c r="K943" s="94"/>
    </row>
    <row r="944" spans="1:11" ht="23.25" customHeight="1" x14ac:dyDescent="0.25">
      <c r="A944" s="92"/>
      <c r="B944" s="104"/>
      <c r="C944" s="104"/>
      <c r="D944" s="104"/>
      <c r="E944" s="104"/>
      <c r="F944" s="105"/>
      <c r="G944" s="105"/>
      <c r="H944" s="106"/>
      <c r="I944" s="106"/>
      <c r="J944" s="106"/>
      <c r="K944" s="94"/>
    </row>
    <row r="945" spans="1:11" ht="23.25" customHeight="1" x14ac:dyDescent="0.25">
      <c r="A945" s="92"/>
      <c r="B945" s="104"/>
      <c r="C945" s="104"/>
      <c r="D945" s="104"/>
      <c r="E945" s="104"/>
      <c r="F945" s="105"/>
      <c r="G945" s="105"/>
      <c r="H945" s="106"/>
      <c r="I945" s="106"/>
      <c r="J945" s="106"/>
      <c r="K945" s="94"/>
    </row>
    <row r="946" spans="1:11" ht="23.25" customHeight="1" x14ac:dyDescent="0.25">
      <c r="A946" s="92"/>
      <c r="B946" s="104"/>
      <c r="C946" s="104"/>
      <c r="D946" s="104"/>
      <c r="E946" s="104"/>
      <c r="F946" s="105"/>
      <c r="G946" s="105"/>
      <c r="H946" s="106"/>
      <c r="I946" s="106"/>
      <c r="J946" s="106"/>
      <c r="K946" s="94"/>
    </row>
    <row r="947" spans="1:11" x14ac:dyDescent="0.25">
      <c r="A947" s="92"/>
      <c r="B947" s="104"/>
      <c r="C947" s="104"/>
      <c r="D947" s="104"/>
      <c r="E947" s="104"/>
      <c r="F947" s="105"/>
      <c r="G947" s="105"/>
      <c r="H947" s="106"/>
      <c r="I947" s="106"/>
      <c r="J947" s="106"/>
      <c r="K947" s="94"/>
    </row>
    <row r="948" spans="1:11" x14ac:dyDescent="0.25">
      <c r="B948" s="104"/>
      <c r="C948" s="104"/>
      <c r="D948" s="104"/>
      <c r="E948" s="104"/>
      <c r="F948" s="105"/>
      <c r="G948" s="105"/>
      <c r="H948" s="106"/>
      <c r="I948" s="106"/>
      <c r="J948" s="106"/>
      <c r="K948" s="94"/>
    </row>
    <row r="949" spans="1:11" x14ac:dyDescent="0.25">
      <c r="B949" s="104"/>
      <c r="C949" s="104"/>
      <c r="D949" s="104"/>
      <c r="E949" s="104"/>
      <c r="F949" s="105"/>
      <c r="G949" s="105"/>
      <c r="H949" s="106"/>
      <c r="I949" s="106"/>
      <c r="J949" s="106"/>
      <c r="K949" s="94"/>
    </row>
    <row r="950" spans="1:11" x14ac:dyDescent="0.25">
      <c r="B950" s="104"/>
      <c r="C950" s="104"/>
      <c r="D950" s="104"/>
      <c r="E950" s="104"/>
      <c r="F950" s="105"/>
      <c r="G950" s="105"/>
      <c r="H950" s="106"/>
      <c r="I950" s="106"/>
      <c r="J950" s="106"/>
      <c r="K950" s="94"/>
    </row>
    <row r="951" spans="1:11" x14ac:dyDescent="0.25">
      <c r="B951" s="104"/>
      <c r="C951" s="104"/>
      <c r="D951" s="104"/>
      <c r="E951" s="104"/>
      <c r="F951" s="105"/>
      <c r="G951" s="105"/>
      <c r="H951" s="106"/>
      <c r="I951" s="106"/>
      <c r="J951" s="106"/>
      <c r="K951" s="94"/>
    </row>
    <row r="952" spans="1:11" x14ac:dyDescent="0.25">
      <c r="B952" s="104"/>
      <c r="C952" s="104"/>
      <c r="D952" s="104"/>
      <c r="E952" s="104"/>
      <c r="F952" s="105"/>
      <c r="G952" s="105"/>
      <c r="H952" s="106"/>
      <c r="I952" s="106"/>
      <c r="J952" s="106"/>
      <c r="K952" s="94"/>
    </row>
    <row r="953" spans="1:11" x14ac:dyDescent="0.25">
      <c r="B953" s="104"/>
      <c r="C953" s="104"/>
      <c r="D953" s="104"/>
      <c r="E953" s="104"/>
      <c r="F953" s="105"/>
      <c r="G953" s="105"/>
      <c r="H953" s="106"/>
      <c r="I953" s="106"/>
      <c r="J953" s="106"/>
      <c r="K953" s="94"/>
    </row>
    <row r="954" spans="1:11" x14ac:dyDescent="0.25">
      <c r="B954" s="104"/>
      <c r="C954" s="104"/>
      <c r="D954" s="104"/>
      <c r="E954" s="104"/>
      <c r="F954" s="105"/>
      <c r="G954" s="105"/>
      <c r="H954" s="106"/>
      <c r="I954" s="106"/>
      <c r="J954" s="106"/>
      <c r="K954" s="94"/>
    </row>
    <row r="955" spans="1:11" x14ac:dyDescent="0.25">
      <c r="B955" s="104"/>
      <c r="C955" s="104"/>
      <c r="D955" s="104"/>
      <c r="E955" s="104"/>
      <c r="F955" s="105"/>
      <c r="G955" s="105"/>
      <c r="H955" s="106"/>
      <c r="I955" s="106"/>
      <c r="J955" s="106"/>
      <c r="K955" s="94"/>
    </row>
    <row r="956" spans="1:11" x14ac:dyDescent="0.25">
      <c r="B956" s="104"/>
      <c r="C956" s="104"/>
      <c r="D956" s="104"/>
      <c r="E956" s="104"/>
      <c r="F956" s="105"/>
      <c r="G956" s="105"/>
      <c r="H956" s="106"/>
      <c r="I956" s="106"/>
      <c r="J956" s="106"/>
      <c r="K956" s="94"/>
    </row>
    <row r="957" spans="1:11" x14ac:dyDescent="0.25">
      <c r="B957" s="104"/>
      <c r="C957" s="104"/>
      <c r="D957" s="104"/>
      <c r="E957" s="104"/>
      <c r="F957" s="105"/>
      <c r="G957" s="105"/>
      <c r="H957" s="106"/>
      <c r="I957" s="106"/>
      <c r="J957" s="106"/>
      <c r="K957" s="94"/>
    </row>
    <row r="958" spans="1:11" x14ac:dyDescent="0.25">
      <c r="B958" s="104"/>
      <c r="C958" s="104"/>
      <c r="D958" s="104"/>
      <c r="E958" s="104"/>
      <c r="F958" s="105"/>
      <c r="G958" s="105"/>
      <c r="H958" s="106"/>
      <c r="I958" s="106"/>
      <c r="J958" s="106"/>
      <c r="K958" s="94"/>
    </row>
    <row r="959" spans="1:11" x14ac:dyDescent="0.25">
      <c r="B959" s="104"/>
      <c r="C959" s="104"/>
      <c r="D959" s="104"/>
      <c r="E959" s="104"/>
      <c r="F959" s="105"/>
      <c r="G959" s="105"/>
      <c r="H959" s="106"/>
      <c r="I959" s="106"/>
      <c r="J959" s="106"/>
      <c r="K959" s="94"/>
    </row>
    <row r="960" spans="1:11" x14ac:dyDescent="0.25">
      <c r="B960" s="104"/>
      <c r="C960" s="104"/>
      <c r="D960" s="104"/>
      <c r="E960" s="104"/>
      <c r="F960" s="105"/>
      <c r="G960" s="105"/>
      <c r="H960" s="106"/>
      <c r="I960" s="106"/>
      <c r="J960" s="106"/>
      <c r="K960" s="94"/>
    </row>
    <row r="961" spans="1:11" x14ac:dyDescent="0.25">
      <c r="B961" s="104"/>
      <c r="C961" s="104"/>
      <c r="D961" s="104"/>
      <c r="E961" s="104"/>
      <c r="F961" s="105"/>
      <c r="G961" s="105"/>
      <c r="H961" s="106"/>
      <c r="I961" s="106"/>
      <c r="J961" s="106"/>
      <c r="K961" s="94"/>
    </row>
    <row r="962" spans="1:11" x14ac:dyDescent="0.25">
      <c r="B962" s="104"/>
      <c r="C962" s="104"/>
      <c r="D962" s="104"/>
      <c r="E962" s="104"/>
      <c r="F962" s="105"/>
      <c r="G962" s="105"/>
      <c r="H962" s="106"/>
      <c r="I962" s="106"/>
      <c r="J962" s="106"/>
      <c r="K962" s="94"/>
    </row>
    <row r="963" spans="1:11" x14ac:dyDescent="0.25">
      <c r="B963" s="104"/>
      <c r="C963" s="104"/>
      <c r="D963" s="104"/>
      <c r="E963" s="104"/>
      <c r="F963" s="105"/>
      <c r="G963" s="105"/>
      <c r="H963" s="106"/>
      <c r="I963" s="106"/>
      <c r="J963" s="106"/>
      <c r="K963" s="94"/>
    </row>
    <row r="964" spans="1:11" x14ac:dyDescent="0.25">
      <c r="B964" s="104"/>
      <c r="C964" s="104"/>
      <c r="D964" s="104"/>
      <c r="E964" s="104"/>
      <c r="F964" s="105"/>
      <c r="G964" s="105"/>
      <c r="H964" s="106"/>
      <c r="I964" s="106"/>
      <c r="J964" s="106"/>
      <c r="K964" s="94"/>
    </row>
    <row r="965" spans="1:11" x14ac:dyDescent="0.25">
      <c r="B965" s="104"/>
      <c r="C965" s="104"/>
      <c r="D965" s="104"/>
      <c r="E965" s="104"/>
      <c r="F965" s="105"/>
      <c r="G965" s="105"/>
      <c r="H965" s="106"/>
      <c r="I965" s="106"/>
      <c r="J965" s="106"/>
      <c r="K965" s="94"/>
    </row>
    <row r="966" spans="1:11" x14ac:dyDescent="0.25">
      <c r="B966" s="104"/>
      <c r="C966" s="104"/>
      <c r="D966" s="104"/>
      <c r="E966" s="104"/>
      <c r="F966" s="105"/>
      <c r="G966" s="105"/>
      <c r="H966" s="106"/>
      <c r="I966" s="106"/>
      <c r="J966" s="106"/>
      <c r="K966" s="94"/>
    </row>
    <row r="967" spans="1:11" x14ac:dyDescent="0.25">
      <c r="B967" s="104"/>
      <c r="C967" s="104"/>
      <c r="D967" s="104"/>
      <c r="E967" s="104"/>
      <c r="F967" s="105"/>
      <c r="G967" s="105"/>
      <c r="H967" s="106"/>
      <c r="I967" s="106"/>
      <c r="J967" s="106"/>
      <c r="K967" s="94"/>
    </row>
    <row r="968" spans="1:11" x14ac:dyDescent="0.25">
      <c r="B968" s="104"/>
      <c r="C968" s="104"/>
      <c r="D968" s="104"/>
      <c r="E968" s="104"/>
      <c r="F968" s="105"/>
      <c r="G968" s="105"/>
      <c r="H968" s="106"/>
      <c r="I968" s="106"/>
      <c r="J968" s="106"/>
      <c r="K968" s="94"/>
    </row>
    <row r="969" spans="1:11" x14ac:dyDescent="0.25">
      <c r="B969" s="104"/>
      <c r="C969" s="104"/>
      <c r="D969" s="104"/>
      <c r="E969" s="104"/>
      <c r="F969" s="105"/>
      <c r="G969" s="105"/>
      <c r="H969" s="106"/>
      <c r="I969" s="106"/>
      <c r="J969" s="106"/>
      <c r="K969" s="94"/>
    </row>
    <row r="970" spans="1:11" x14ac:dyDescent="0.25">
      <c r="B970" s="104"/>
      <c r="C970" s="104"/>
      <c r="D970" s="104"/>
      <c r="E970" s="104"/>
      <c r="F970" s="105"/>
      <c r="G970" s="105"/>
      <c r="H970" s="106"/>
      <c r="I970" s="106"/>
      <c r="J970" s="106"/>
      <c r="K970" s="94"/>
    </row>
    <row r="971" spans="1:11" x14ac:dyDescent="0.25">
      <c r="B971" s="104"/>
      <c r="C971" s="104"/>
      <c r="D971" s="104"/>
      <c r="E971" s="104"/>
      <c r="F971" s="105"/>
      <c r="G971" s="105"/>
      <c r="H971" s="106"/>
      <c r="I971" s="106"/>
      <c r="J971" s="106"/>
      <c r="K971" s="94"/>
    </row>
    <row r="972" spans="1:11" x14ac:dyDescent="0.25">
      <c r="B972" s="104"/>
      <c r="C972" s="104"/>
      <c r="D972" s="104"/>
      <c r="E972" s="104"/>
      <c r="F972" s="105"/>
      <c r="G972" s="105"/>
      <c r="H972" s="106"/>
      <c r="I972" s="106"/>
      <c r="J972" s="106"/>
      <c r="K972" s="94"/>
    </row>
    <row r="973" spans="1:11" x14ac:dyDescent="0.25">
      <c r="B973" s="104"/>
      <c r="C973" s="104"/>
      <c r="D973" s="104"/>
      <c r="E973" s="104"/>
      <c r="F973" s="105"/>
      <c r="G973" s="105"/>
      <c r="H973" s="106"/>
      <c r="I973" s="106"/>
      <c r="J973" s="106"/>
      <c r="K973" s="94"/>
    </row>
    <row r="974" spans="1:11" x14ac:dyDescent="0.25">
      <c r="B974" s="104"/>
      <c r="C974" s="104"/>
      <c r="D974" s="104"/>
      <c r="E974" s="104"/>
      <c r="F974" s="105"/>
      <c r="G974" s="105"/>
      <c r="H974" s="106"/>
      <c r="I974" s="106"/>
      <c r="J974" s="106"/>
      <c r="K974" s="94"/>
    </row>
    <row r="975" spans="1:11" x14ac:dyDescent="0.25">
      <c r="A975" s="92"/>
      <c r="B975" s="104"/>
      <c r="C975" s="104"/>
      <c r="D975" s="104"/>
      <c r="E975" s="104"/>
      <c r="F975" s="105"/>
      <c r="G975" s="105"/>
      <c r="H975" s="106"/>
      <c r="I975" s="106"/>
      <c r="J975" s="106"/>
      <c r="K975" s="94"/>
    </row>
    <row r="976" spans="1:11" ht="15.75" x14ac:dyDescent="0.25">
      <c r="A976" s="92"/>
      <c r="B976" s="115"/>
      <c r="C976" s="104"/>
      <c r="D976" s="116"/>
      <c r="E976" s="104"/>
      <c r="F976" s="116"/>
      <c r="G976" s="116"/>
      <c r="H976" s="106"/>
      <c r="I976" s="106"/>
      <c r="J976" s="115"/>
      <c r="K976" s="94"/>
    </row>
    <row r="977" spans="1:11" ht="15.75" x14ac:dyDescent="0.25">
      <c r="A977" s="92"/>
      <c r="B977" s="115"/>
      <c r="C977" s="104"/>
      <c r="D977" s="116"/>
      <c r="E977" s="104"/>
      <c r="F977" s="115"/>
      <c r="G977" s="115"/>
      <c r="H977" s="106"/>
      <c r="I977" s="106"/>
      <c r="J977" s="115"/>
      <c r="K977" s="94"/>
    </row>
    <row r="978" spans="1:11" ht="15.75" x14ac:dyDescent="0.25">
      <c r="A978" s="92"/>
      <c r="B978" s="115"/>
      <c r="C978" s="104"/>
      <c r="D978" s="116"/>
      <c r="E978" s="104"/>
      <c r="F978" s="115"/>
      <c r="G978" s="115"/>
      <c r="H978" s="106"/>
      <c r="I978" s="106"/>
      <c r="J978" s="115"/>
      <c r="K978" s="94"/>
    </row>
    <row r="979" spans="1:11" ht="15.75" x14ac:dyDescent="0.25">
      <c r="A979" s="92"/>
      <c r="B979" s="115"/>
      <c r="C979" s="104"/>
      <c r="D979" s="116"/>
      <c r="E979" s="104"/>
      <c r="F979" s="117"/>
      <c r="G979" s="117"/>
      <c r="H979" s="106"/>
      <c r="I979" s="106"/>
      <c r="J979" s="115"/>
      <c r="K979" s="94"/>
    </row>
    <row r="980" spans="1:11" ht="15.75" x14ac:dyDescent="0.25">
      <c r="A980" s="92"/>
      <c r="B980" s="115"/>
      <c r="C980" s="104"/>
      <c r="D980" s="116"/>
      <c r="E980" s="104"/>
      <c r="F980" s="116"/>
      <c r="G980" s="116"/>
      <c r="H980" s="106"/>
      <c r="I980" s="106"/>
      <c r="J980" s="115"/>
      <c r="K980" s="94"/>
    </row>
    <row r="981" spans="1:11" ht="15.75" x14ac:dyDescent="0.25">
      <c r="A981" s="92"/>
      <c r="B981" s="115"/>
      <c r="C981" s="104"/>
      <c r="D981" s="116"/>
      <c r="E981" s="104"/>
      <c r="F981" s="116"/>
      <c r="G981" s="116"/>
      <c r="H981" s="106"/>
      <c r="I981" s="106"/>
      <c r="J981" s="115"/>
      <c r="K981" s="94"/>
    </row>
    <row r="982" spans="1:11" ht="15.75" x14ac:dyDescent="0.25">
      <c r="A982" s="92"/>
      <c r="B982" s="115"/>
      <c r="C982" s="104"/>
      <c r="D982" s="116"/>
      <c r="E982" s="104"/>
      <c r="F982" s="117"/>
      <c r="G982" s="117"/>
      <c r="H982" s="106"/>
      <c r="I982" s="106"/>
      <c r="J982" s="115"/>
      <c r="K982" s="94"/>
    </row>
    <row r="983" spans="1:11" ht="15.75" x14ac:dyDescent="0.25">
      <c r="A983" s="92"/>
      <c r="B983" s="115"/>
      <c r="C983" s="104"/>
      <c r="D983" s="116"/>
      <c r="E983" s="104"/>
      <c r="F983" s="115"/>
      <c r="G983" s="115"/>
      <c r="H983" s="106"/>
      <c r="I983" s="106"/>
      <c r="J983" s="115"/>
      <c r="K983" s="94"/>
    </row>
    <row r="984" spans="1:11" ht="15.75" x14ac:dyDescent="0.25">
      <c r="A984" s="92"/>
      <c r="B984" s="115"/>
      <c r="C984" s="104"/>
      <c r="D984" s="116"/>
      <c r="E984" s="104"/>
      <c r="F984" s="115"/>
      <c r="G984" s="115"/>
      <c r="H984" s="106"/>
      <c r="I984" s="106"/>
      <c r="J984" s="115"/>
      <c r="K984" s="94"/>
    </row>
    <row r="985" spans="1:11" ht="15.75" x14ac:dyDescent="0.25">
      <c r="A985" s="92"/>
      <c r="B985" s="115"/>
      <c r="C985" s="104"/>
      <c r="D985" s="116"/>
      <c r="E985" s="104"/>
      <c r="F985" s="117"/>
      <c r="G985" s="117"/>
      <c r="H985" s="106"/>
      <c r="I985" s="106"/>
      <c r="J985" s="115"/>
      <c r="K985" s="94"/>
    </row>
    <row r="986" spans="1:11" ht="15.75" x14ac:dyDescent="0.25">
      <c r="A986" s="92"/>
      <c r="B986" s="115"/>
      <c r="C986" s="104"/>
      <c r="D986" s="116"/>
      <c r="E986" s="104"/>
      <c r="F986" s="117"/>
      <c r="G986" s="117"/>
      <c r="H986" s="106"/>
      <c r="I986" s="106"/>
      <c r="J986" s="115"/>
      <c r="K986" s="94"/>
    </row>
    <row r="987" spans="1:11" ht="15.75" x14ac:dyDescent="0.25">
      <c r="A987" s="92"/>
      <c r="B987" s="115"/>
      <c r="C987" s="104"/>
      <c r="D987" s="116"/>
      <c r="E987" s="104"/>
      <c r="F987" s="116"/>
      <c r="G987" s="116"/>
      <c r="H987" s="106"/>
      <c r="I987" s="106"/>
      <c r="J987" s="115"/>
      <c r="K987" s="94"/>
    </row>
    <row r="988" spans="1:11" ht="15.75" x14ac:dyDescent="0.25">
      <c r="A988" s="92"/>
      <c r="B988" s="115"/>
      <c r="C988" s="104"/>
      <c r="D988" s="116"/>
      <c r="E988" s="104"/>
      <c r="F988" s="116"/>
      <c r="G988" s="116"/>
      <c r="H988" s="106"/>
      <c r="I988" s="106"/>
      <c r="J988" s="115"/>
      <c r="K988" s="94"/>
    </row>
    <row r="989" spans="1:11" ht="15.75" x14ac:dyDescent="0.25">
      <c r="A989" s="92"/>
      <c r="B989" s="115"/>
      <c r="C989" s="104"/>
      <c r="D989" s="116"/>
      <c r="E989" s="104"/>
      <c r="F989" s="116"/>
      <c r="G989" s="116"/>
      <c r="H989" s="106"/>
      <c r="I989" s="106"/>
      <c r="J989" s="115"/>
      <c r="K989" s="94"/>
    </row>
    <row r="990" spans="1:11" ht="15.75" x14ac:dyDescent="0.25">
      <c r="A990" s="92"/>
      <c r="B990" s="115"/>
      <c r="C990" s="104"/>
      <c r="D990" s="116"/>
      <c r="E990" s="104"/>
      <c r="F990" s="116"/>
      <c r="G990" s="116"/>
      <c r="H990" s="106"/>
      <c r="I990" s="106"/>
      <c r="J990" s="115"/>
      <c r="K990" s="94"/>
    </row>
    <row r="991" spans="1:11" ht="15.75" x14ac:dyDescent="0.25">
      <c r="A991" s="92"/>
      <c r="B991" s="115"/>
      <c r="C991" s="104"/>
      <c r="D991" s="116"/>
      <c r="E991" s="104"/>
      <c r="F991" s="116"/>
      <c r="G991" s="116"/>
      <c r="H991" s="106"/>
      <c r="I991" s="106"/>
      <c r="J991" s="115"/>
      <c r="K991" s="94"/>
    </row>
    <row r="992" spans="1:11" ht="15.75" x14ac:dyDescent="0.25">
      <c r="A992" s="92"/>
      <c r="B992" s="115"/>
      <c r="C992" s="104"/>
      <c r="D992" s="116"/>
      <c r="E992" s="104"/>
      <c r="F992" s="116"/>
      <c r="G992" s="116"/>
      <c r="H992" s="106"/>
      <c r="I992" s="106"/>
      <c r="J992" s="115"/>
      <c r="K992" s="94"/>
    </row>
    <row r="993" spans="1:11" ht="15.75" x14ac:dyDescent="0.25">
      <c r="A993" s="92"/>
      <c r="B993" s="115"/>
      <c r="C993" s="104"/>
      <c r="D993" s="116"/>
      <c r="E993" s="104"/>
      <c r="F993" s="116"/>
      <c r="G993" s="116"/>
      <c r="H993" s="106"/>
      <c r="I993" s="106"/>
      <c r="J993" s="115"/>
      <c r="K993" s="94"/>
    </row>
    <row r="994" spans="1:11" ht="15.75" x14ac:dyDescent="0.25">
      <c r="A994" s="92"/>
      <c r="B994" s="115"/>
      <c r="C994" s="104"/>
      <c r="D994" s="116"/>
      <c r="E994" s="104"/>
      <c r="F994" s="116"/>
      <c r="G994" s="116"/>
      <c r="H994" s="106"/>
      <c r="I994" s="106"/>
      <c r="J994" s="115"/>
      <c r="K994" s="94"/>
    </row>
    <row r="995" spans="1:11" ht="15.75" x14ac:dyDescent="0.25">
      <c r="A995" s="92"/>
      <c r="B995" s="115"/>
      <c r="C995" s="104"/>
      <c r="D995" s="116"/>
      <c r="E995" s="104"/>
      <c r="F995" s="116"/>
      <c r="G995" s="116"/>
      <c r="H995" s="106"/>
      <c r="I995" s="106"/>
      <c r="J995" s="115"/>
      <c r="K995" s="94"/>
    </row>
    <row r="996" spans="1:11" ht="15.75" x14ac:dyDescent="0.25">
      <c r="A996" s="92"/>
      <c r="B996" s="115"/>
      <c r="C996" s="104"/>
      <c r="D996" s="116"/>
      <c r="E996" s="104"/>
      <c r="F996" s="115"/>
      <c r="G996" s="115"/>
      <c r="H996" s="106"/>
      <c r="I996" s="106"/>
      <c r="J996" s="115"/>
      <c r="K996" s="94"/>
    </row>
    <row r="997" spans="1:11" ht="15.75" x14ac:dyDescent="0.25">
      <c r="A997" s="92"/>
      <c r="B997" s="115"/>
      <c r="C997" s="104"/>
      <c r="D997" s="116"/>
      <c r="E997" s="104"/>
      <c r="F997" s="115"/>
      <c r="G997" s="115"/>
      <c r="H997" s="106"/>
      <c r="I997" s="106"/>
      <c r="J997" s="115"/>
      <c r="K997" s="94"/>
    </row>
    <row r="998" spans="1:11" ht="15.75" x14ac:dyDescent="0.25">
      <c r="A998" s="92"/>
      <c r="B998" s="115"/>
      <c r="C998" s="104"/>
      <c r="D998" s="116"/>
      <c r="E998" s="104"/>
      <c r="F998" s="115"/>
      <c r="G998" s="115"/>
      <c r="H998" s="106"/>
      <c r="I998" s="106"/>
      <c r="J998" s="115"/>
      <c r="K998" s="94"/>
    </row>
    <row r="999" spans="1:11" ht="15.75" x14ac:dyDescent="0.25">
      <c r="A999" s="92"/>
      <c r="B999" s="115"/>
      <c r="C999" s="104"/>
      <c r="D999" s="116"/>
      <c r="E999" s="104"/>
      <c r="F999" s="115"/>
      <c r="G999" s="115"/>
      <c r="H999" s="106"/>
      <c r="I999" s="106"/>
      <c r="J999" s="115"/>
      <c r="K999" s="94"/>
    </row>
    <row r="1000" spans="1:11" ht="15.75" x14ac:dyDescent="0.25">
      <c r="A1000" s="92"/>
      <c r="B1000" s="115"/>
      <c r="C1000" s="104"/>
      <c r="D1000" s="116"/>
      <c r="E1000" s="104"/>
      <c r="F1000" s="115"/>
      <c r="G1000" s="115"/>
      <c r="H1000" s="106"/>
      <c r="I1000" s="106"/>
      <c r="J1000" s="115"/>
      <c r="K1000" s="94"/>
    </row>
    <row r="1001" spans="1:11" ht="15.75" x14ac:dyDescent="0.25">
      <c r="A1001" s="92"/>
      <c r="B1001" s="115"/>
      <c r="C1001" s="104"/>
      <c r="D1001" s="116"/>
      <c r="E1001" s="104"/>
      <c r="F1001" s="116"/>
      <c r="G1001" s="116"/>
      <c r="H1001" s="106"/>
      <c r="I1001" s="106"/>
      <c r="J1001" s="115"/>
      <c r="K1001" s="94"/>
    </row>
    <row r="1002" spans="1:11" ht="15.75" x14ac:dyDescent="0.25">
      <c r="A1002" s="92"/>
      <c r="B1002" s="115"/>
      <c r="C1002" s="104"/>
      <c r="D1002" s="116"/>
      <c r="E1002" s="104"/>
      <c r="F1002" s="116"/>
      <c r="G1002" s="116"/>
      <c r="H1002" s="106"/>
      <c r="I1002" s="106"/>
      <c r="J1002" s="115"/>
      <c r="K1002" s="94"/>
    </row>
    <row r="1003" spans="1:11" ht="15.75" x14ac:dyDescent="0.25">
      <c r="A1003" s="92"/>
      <c r="B1003" s="115"/>
      <c r="C1003" s="104"/>
      <c r="D1003" s="116"/>
      <c r="E1003" s="104"/>
      <c r="F1003" s="116"/>
      <c r="G1003" s="116"/>
      <c r="H1003" s="106"/>
      <c r="I1003" s="106"/>
      <c r="J1003" s="115"/>
      <c r="K1003" s="94"/>
    </row>
    <row r="1004" spans="1:11" ht="15.75" x14ac:dyDescent="0.25">
      <c r="A1004" s="92"/>
      <c r="B1004" s="115"/>
      <c r="C1004" s="104"/>
      <c r="D1004" s="116"/>
      <c r="E1004" s="104"/>
      <c r="F1004" s="116"/>
      <c r="G1004" s="116"/>
      <c r="H1004" s="106"/>
      <c r="I1004" s="106"/>
      <c r="J1004" s="115"/>
      <c r="K1004" s="94"/>
    </row>
    <row r="1005" spans="1:11" ht="15.75" x14ac:dyDescent="0.25">
      <c r="A1005" s="92"/>
      <c r="B1005" s="115"/>
      <c r="C1005" s="104"/>
      <c r="D1005" s="116"/>
      <c r="E1005" s="104"/>
      <c r="F1005" s="116"/>
      <c r="G1005" s="116"/>
      <c r="H1005" s="106"/>
      <c r="I1005" s="106"/>
      <c r="J1005" s="115"/>
      <c r="K1005" s="94"/>
    </row>
    <row r="1006" spans="1:11" ht="15.75" x14ac:dyDescent="0.25">
      <c r="A1006" s="92"/>
      <c r="B1006" s="115"/>
      <c r="C1006" s="104"/>
      <c r="D1006" s="116"/>
      <c r="E1006" s="104"/>
      <c r="F1006" s="116"/>
      <c r="G1006" s="116"/>
      <c r="H1006" s="106"/>
      <c r="I1006" s="106"/>
      <c r="J1006" s="115"/>
      <c r="K1006" s="94"/>
    </row>
    <row r="1007" spans="1:11" ht="15.75" x14ac:dyDescent="0.25">
      <c r="A1007" s="92"/>
      <c r="B1007" s="115"/>
      <c r="C1007" s="104"/>
      <c r="D1007" s="116"/>
      <c r="E1007" s="104"/>
      <c r="F1007" s="116"/>
      <c r="G1007" s="116"/>
      <c r="H1007" s="106"/>
      <c r="I1007" s="106"/>
      <c r="J1007" s="115"/>
      <c r="K1007" s="94"/>
    </row>
    <row r="1008" spans="1:11" ht="15.75" x14ac:dyDescent="0.25">
      <c r="A1008" s="92"/>
      <c r="B1008" s="115"/>
      <c r="C1008" s="104"/>
      <c r="D1008" s="116"/>
      <c r="E1008" s="104"/>
      <c r="F1008" s="116"/>
      <c r="G1008" s="116"/>
      <c r="H1008" s="106"/>
      <c r="I1008" s="106"/>
      <c r="J1008" s="115"/>
      <c r="K1008" s="94"/>
    </row>
    <row r="1009" spans="1:11" ht="15.75" x14ac:dyDescent="0.25">
      <c r="A1009" s="92"/>
      <c r="B1009" s="115"/>
      <c r="C1009" s="104"/>
      <c r="D1009" s="116"/>
      <c r="E1009" s="104"/>
      <c r="F1009" s="116"/>
      <c r="G1009" s="116"/>
      <c r="H1009" s="106"/>
      <c r="I1009" s="106"/>
      <c r="J1009" s="115"/>
      <c r="K1009" s="94"/>
    </row>
    <row r="1010" spans="1:11" ht="15.75" x14ac:dyDescent="0.25">
      <c r="A1010" s="92"/>
      <c r="B1010" s="115"/>
      <c r="C1010" s="104"/>
      <c r="D1010" s="116"/>
      <c r="E1010" s="104"/>
      <c r="F1010" s="116"/>
      <c r="G1010" s="116"/>
      <c r="H1010" s="106"/>
      <c r="I1010" s="106"/>
      <c r="J1010" s="115"/>
      <c r="K1010" s="94"/>
    </row>
    <row r="1011" spans="1:11" ht="15.75" x14ac:dyDescent="0.25">
      <c r="A1011" s="92"/>
      <c r="B1011" s="115"/>
      <c r="C1011" s="104"/>
      <c r="D1011" s="116"/>
      <c r="E1011" s="104"/>
      <c r="F1011" s="116"/>
      <c r="G1011" s="116"/>
      <c r="H1011" s="106"/>
      <c r="I1011" s="106"/>
      <c r="J1011" s="115"/>
      <c r="K1011" s="94"/>
    </row>
    <row r="1012" spans="1:11" ht="15.75" x14ac:dyDescent="0.25">
      <c r="A1012" s="92"/>
      <c r="B1012" s="115"/>
      <c r="C1012" s="104"/>
      <c r="D1012" s="116"/>
      <c r="E1012" s="104"/>
      <c r="F1012" s="116"/>
      <c r="G1012" s="116"/>
      <c r="H1012" s="106"/>
      <c r="I1012" s="106"/>
      <c r="J1012" s="115"/>
      <c r="K1012" s="94"/>
    </row>
    <row r="1013" spans="1:11" ht="15.75" x14ac:dyDescent="0.25">
      <c r="A1013" s="92"/>
      <c r="B1013" s="115"/>
      <c r="C1013" s="104"/>
      <c r="D1013" s="116"/>
      <c r="E1013" s="104"/>
      <c r="F1013" s="116"/>
      <c r="G1013" s="116"/>
      <c r="H1013" s="106"/>
      <c r="I1013" s="106"/>
      <c r="J1013" s="115"/>
      <c r="K1013" s="94"/>
    </row>
    <row r="1014" spans="1:11" ht="15.75" x14ac:dyDescent="0.25">
      <c r="A1014" s="92"/>
      <c r="B1014" s="115"/>
      <c r="C1014" s="104"/>
      <c r="D1014" s="116"/>
      <c r="E1014" s="104"/>
      <c r="F1014" s="116"/>
      <c r="G1014" s="116"/>
      <c r="H1014" s="106"/>
      <c r="I1014" s="106"/>
      <c r="J1014" s="115"/>
      <c r="K1014" s="94"/>
    </row>
    <row r="1015" spans="1:11" ht="15.75" x14ac:dyDescent="0.25">
      <c r="A1015" s="92"/>
      <c r="B1015" s="115"/>
      <c r="C1015" s="104"/>
      <c r="D1015" s="116"/>
      <c r="E1015" s="104"/>
      <c r="F1015" s="116"/>
      <c r="G1015" s="116"/>
      <c r="H1015" s="106"/>
      <c r="I1015" s="106"/>
      <c r="J1015" s="115"/>
      <c r="K1015" s="94"/>
    </row>
    <row r="1016" spans="1:11" ht="15.75" x14ac:dyDescent="0.25">
      <c r="A1016" s="92"/>
      <c r="B1016" s="115"/>
      <c r="C1016" s="104"/>
      <c r="D1016" s="116"/>
      <c r="E1016" s="104"/>
      <c r="F1016" s="116"/>
      <c r="G1016" s="116"/>
      <c r="H1016" s="106"/>
      <c r="I1016" s="106"/>
      <c r="J1016" s="115"/>
      <c r="K1016" s="94"/>
    </row>
    <row r="1017" spans="1:11" ht="15.75" x14ac:dyDescent="0.25">
      <c r="A1017" s="92"/>
      <c r="B1017" s="115"/>
      <c r="C1017" s="104"/>
      <c r="D1017" s="116"/>
      <c r="E1017" s="104"/>
      <c r="F1017" s="116"/>
      <c r="G1017" s="116"/>
      <c r="H1017" s="106"/>
      <c r="I1017" s="106"/>
      <c r="J1017" s="115"/>
      <c r="K1017" s="94"/>
    </row>
    <row r="1018" spans="1:11" ht="15.75" x14ac:dyDescent="0.25">
      <c r="A1018" s="92"/>
      <c r="B1018" s="115"/>
      <c r="C1018" s="104"/>
      <c r="D1018" s="116"/>
      <c r="E1018" s="104"/>
      <c r="F1018" s="116"/>
      <c r="G1018" s="116"/>
      <c r="H1018" s="106"/>
      <c r="I1018" s="106"/>
      <c r="J1018" s="115"/>
      <c r="K1018" s="94"/>
    </row>
    <row r="1019" spans="1:11" ht="15.75" x14ac:dyDescent="0.25">
      <c r="A1019" s="92"/>
      <c r="B1019" s="115"/>
      <c r="C1019" s="104"/>
      <c r="D1019" s="116"/>
      <c r="E1019" s="104"/>
      <c r="F1019" s="116"/>
      <c r="G1019" s="116"/>
      <c r="H1019" s="106"/>
      <c r="I1019" s="106"/>
      <c r="J1019" s="115"/>
      <c r="K1019" s="94"/>
    </row>
    <row r="1020" spans="1:11" ht="15.75" x14ac:dyDescent="0.25">
      <c r="A1020" s="92"/>
      <c r="B1020" s="115"/>
      <c r="C1020" s="104"/>
      <c r="D1020" s="116"/>
      <c r="E1020" s="104"/>
      <c r="F1020" s="116"/>
      <c r="G1020" s="116"/>
      <c r="H1020" s="106"/>
      <c r="I1020" s="106"/>
      <c r="J1020" s="115"/>
      <c r="K1020" s="94"/>
    </row>
    <row r="1021" spans="1:11" ht="15.75" x14ac:dyDescent="0.25">
      <c r="A1021" s="92"/>
      <c r="B1021" s="115"/>
      <c r="C1021" s="104"/>
      <c r="D1021" s="116"/>
      <c r="E1021" s="104"/>
      <c r="F1021" s="116"/>
      <c r="G1021" s="116"/>
      <c r="H1021" s="106"/>
      <c r="I1021" s="106"/>
      <c r="J1021" s="115"/>
      <c r="K1021" s="94"/>
    </row>
    <row r="1022" spans="1:11" ht="15.75" x14ac:dyDescent="0.25">
      <c r="A1022" s="92"/>
      <c r="B1022" s="115"/>
      <c r="C1022" s="104"/>
      <c r="D1022" s="116"/>
      <c r="E1022" s="104"/>
      <c r="F1022" s="116"/>
      <c r="G1022" s="116"/>
      <c r="H1022" s="106"/>
      <c r="I1022" s="106"/>
      <c r="J1022" s="115"/>
      <c r="K1022" s="94"/>
    </row>
    <row r="1023" spans="1:11" ht="15.75" x14ac:dyDescent="0.25">
      <c r="A1023" s="92"/>
      <c r="B1023" s="115"/>
      <c r="C1023" s="104"/>
      <c r="D1023" s="116"/>
      <c r="E1023" s="104"/>
      <c r="F1023" s="116"/>
      <c r="G1023" s="116"/>
      <c r="H1023" s="106"/>
      <c r="I1023" s="106"/>
      <c r="J1023" s="115"/>
      <c r="K1023" s="94"/>
    </row>
    <row r="1024" spans="1:11" ht="15.75" x14ac:dyDescent="0.25">
      <c r="A1024" s="92"/>
      <c r="B1024" s="115"/>
      <c r="C1024" s="104"/>
      <c r="D1024" s="116"/>
      <c r="E1024" s="104"/>
      <c r="F1024" s="116"/>
      <c r="G1024" s="116"/>
      <c r="H1024" s="106"/>
      <c r="I1024" s="106"/>
      <c r="J1024" s="115"/>
      <c r="K1024" s="94"/>
    </row>
    <row r="1025" spans="1:11" ht="15.75" x14ac:dyDescent="0.25">
      <c r="A1025" s="92"/>
      <c r="B1025" s="115"/>
      <c r="C1025" s="104"/>
      <c r="D1025" s="116"/>
      <c r="E1025" s="104"/>
      <c r="F1025" s="116"/>
      <c r="G1025" s="116"/>
      <c r="H1025" s="106"/>
      <c r="I1025" s="106"/>
      <c r="J1025" s="115"/>
      <c r="K1025" s="94"/>
    </row>
    <row r="1026" spans="1:11" ht="15.75" x14ac:dyDescent="0.25">
      <c r="A1026" s="92"/>
      <c r="B1026" s="115"/>
      <c r="C1026" s="104"/>
      <c r="D1026" s="116"/>
      <c r="E1026" s="104"/>
      <c r="F1026" s="116"/>
      <c r="G1026" s="116"/>
      <c r="H1026" s="106"/>
      <c r="I1026" s="106"/>
      <c r="J1026" s="115"/>
      <c r="K1026" s="94"/>
    </row>
    <row r="1027" spans="1:11" ht="15.75" x14ac:dyDescent="0.25">
      <c r="A1027" s="92"/>
      <c r="B1027" s="115"/>
      <c r="C1027" s="104"/>
      <c r="D1027" s="116"/>
      <c r="E1027" s="104"/>
      <c r="F1027" s="116"/>
      <c r="G1027" s="116"/>
      <c r="H1027" s="106"/>
      <c r="I1027" s="106"/>
      <c r="J1027" s="115"/>
      <c r="K1027" s="94"/>
    </row>
    <row r="1028" spans="1:11" ht="15.75" x14ac:dyDescent="0.25">
      <c r="A1028" s="92"/>
      <c r="B1028" s="115"/>
      <c r="C1028" s="104"/>
      <c r="D1028" s="116"/>
      <c r="E1028" s="104"/>
      <c r="F1028" s="116"/>
      <c r="G1028" s="116"/>
      <c r="H1028" s="106"/>
      <c r="I1028" s="106"/>
      <c r="J1028" s="115"/>
      <c r="K1028" s="94"/>
    </row>
    <row r="1029" spans="1:11" ht="15.75" x14ac:dyDescent="0.25">
      <c r="A1029" s="92"/>
      <c r="B1029" s="115"/>
      <c r="C1029" s="104"/>
      <c r="D1029" s="116"/>
      <c r="E1029" s="104"/>
      <c r="F1029" s="116"/>
      <c r="G1029" s="116"/>
      <c r="H1029" s="106"/>
      <c r="I1029" s="106"/>
      <c r="J1029" s="115"/>
      <c r="K1029" s="94"/>
    </row>
    <row r="1030" spans="1:11" ht="15.75" x14ac:dyDescent="0.25">
      <c r="A1030" s="92"/>
      <c r="B1030" s="115"/>
      <c r="C1030" s="104"/>
      <c r="D1030" s="116"/>
      <c r="E1030" s="104"/>
      <c r="F1030" s="116"/>
      <c r="G1030" s="116"/>
      <c r="H1030" s="106"/>
      <c r="I1030" s="106"/>
      <c r="J1030" s="115"/>
      <c r="K1030" s="94"/>
    </row>
    <row r="1031" spans="1:11" ht="15.75" x14ac:dyDescent="0.25">
      <c r="A1031" s="92"/>
      <c r="B1031" s="115"/>
      <c r="C1031" s="104"/>
      <c r="D1031" s="116"/>
      <c r="E1031" s="104"/>
      <c r="F1031" s="116"/>
      <c r="G1031" s="116"/>
      <c r="H1031" s="106"/>
      <c r="I1031" s="106"/>
      <c r="J1031" s="115"/>
      <c r="K1031" s="94"/>
    </row>
    <row r="1032" spans="1:11" ht="15.75" x14ac:dyDescent="0.25">
      <c r="A1032" s="92"/>
      <c r="B1032" s="115"/>
      <c r="C1032" s="104"/>
      <c r="D1032" s="116"/>
      <c r="E1032" s="104"/>
      <c r="F1032" s="116"/>
      <c r="G1032" s="116"/>
      <c r="H1032" s="106"/>
      <c r="I1032" s="106"/>
      <c r="J1032" s="115"/>
      <c r="K1032" s="94"/>
    </row>
    <row r="1033" spans="1:11" ht="15.75" x14ac:dyDescent="0.25">
      <c r="A1033" s="92"/>
      <c r="B1033" s="115"/>
      <c r="C1033" s="104"/>
      <c r="D1033" s="116"/>
      <c r="E1033" s="104"/>
      <c r="F1033" s="116"/>
      <c r="G1033" s="116"/>
      <c r="H1033" s="106"/>
      <c r="I1033" s="106"/>
      <c r="J1033" s="115"/>
      <c r="K1033" s="94"/>
    </row>
    <row r="1034" spans="1:11" ht="15.75" x14ac:dyDescent="0.25">
      <c r="A1034" s="92"/>
      <c r="B1034" s="115"/>
      <c r="C1034" s="104"/>
      <c r="D1034" s="116"/>
      <c r="E1034" s="104"/>
      <c r="F1034" s="116"/>
      <c r="G1034" s="116"/>
      <c r="H1034" s="106"/>
      <c r="I1034" s="106"/>
      <c r="J1034" s="115"/>
      <c r="K1034" s="94"/>
    </row>
    <row r="1035" spans="1:11" ht="15.75" x14ac:dyDescent="0.25">
      <c r="A1035" s="92"/>
      <c r="B1035" s="115"/>
      <c r="C1035" s="104"/>
      <c r="D1035" s="116"/>
      <c r="E1035" s="104"/>
      <c r="F1035" s="116"/>
      <c r="G1035" s="116"/>
      <c r="H1035" s="106"/>
      <c r="I1035" s="106"/>
      <c r="J1035" s="115"/>
      <c r="K1035" s="94"/>
    </row>
    <row r="1036" spans="1:11" ht="15.75" x14ac:dyDescent="0.25">
      <c r="A1036" s="92"/>
      <c r="B1036" s="115"/>
      <c r="C1036" s="104"/>
      <c r="D1036" s="116"/>
      <c r="E1036" s="104"/>
      <c r="F1036" s="116"/>
      <c r="G1036" s="116"/>
      <c r="H1036" s="106"/>
      <c r="I1036" s="106"/>
      <c r="J1036" s="115"/>
      <c r="K1036" s="94"/>
    </row>
    <row r="1037" spans="1:11" ht="15.75" x14ac:dyDescent="0.25">
      <c r="A1037" s="92"/>
      <c r="B1037" s="115"/>
      <c r="C1037" s="104"/>
      <c r="D1037" s="116"/>
      <c r="E1037" s="104"/>
      <c r="F1037" s="116"/>
      <c r="G1037" s="116"/>
      <c r="H1037" s="106"/>
      <c r="I1037" s="106"/>
      <c r="J1037" s="115"/>
      <c r="K1037" s="94"/>
    </row>
    <row r="1038" spans="1:11" ht="15.75" x14ac:dyDescent="0.25">
      <c r="A1038" s="92"/>
      <c r="B1038" s="115"/>
      <c r="C1038" s="104"/>
      <c r="D1038" s="116"/>
      <c r="E1038" s="104"/>
      <c r="F1038" s="116"/>
      <c r="G1038" s="116"/>
      <c r="H1038" s="106"/>
      <c r="I1038" s="106"/>
      <c r="J1038" s="115"/>
      <c r="K1038" s="94"/>
    </row>
    <row r="1039" spans="1:11" ht="15.75" x14ac:dyDescent="0.25">
      <c r="A1039" s="92"/>
      <c r="B1039" s="115"/>
      <c r="C1039" s="104"/>
      <c r="D1039" s="116"/>
      <c r="E1039" s="104"/>
      <c r="F1039" s="116"/>
      <c r="G1039" s="116"/>
      <c r="H1039" s="106"/>
      <c r="I1039" s="106"/>
      <c r="J1039" s="115"/>
      <c r="K1039" s="94"/>
    </row>
    <row r="1040" spans="1:11" ht="15.75" x14ac:dyDescent="0.25">
      <c r="A1040" s="92"/>
      <c r="B1040" s="115"/>
      <c r="C1040" s="104"/>
      <c r="D1040" s="116"/>
      <c r="E1040" s="104"/>
      <c r="F1040" s="116"/>
      <c r="G1040" s="116"/>
      <c r="H1040" s="106"/>
      <c r="I1040" s="106"/>
      <c r="J1040" s="115"/>
      <c r="K1040" s="94"/>
    </row>
    <row r="1041" spans="1:11" ht="15.75" x14ac:dyDescent="0.25">
      <c r="A1041" s="92"/>
      <c r="B1041" s="115"/>
      <c r="C1041" s="104"/>
      <c r="D1041" s="116"/>
      <c r="E1041" s="104"/>
      <c r="F1041" s="116"/>
      <c r="G1041" s="116"/>
      <c r="H1041" s="106"/>
      <c r="I1041" s="106"/>
      <c r="J1041" s="115"/>
      <c r="K1041" s="94"/>
    </row>
    <row r="1042" spans="1:11" ht="15.75" x14ac:dyDescent="0.25">
      <c r="A1042" s="92"/>
      <c r="B1042" s="115"/>
      <c r="C1042" s="104"/>
      <c r="D1042" s="116"/>
      <c r="E1042" s="104"/>
      <c r="F1042" s="116"/>
      <c r="G1042" s="116"/>
      <c r="H1042" s="106"/>
      <c r="I1042" s="106"/>
      <c r="J1042" s="115"/>
      <c r="K1042" s="94"/>
    </row>
    <row r="1043" spans="1:11" ht="15.75" x14ac:dyDescent="0.25">
      <c r="A1043" s="92"/>
      <c r="B1043" s="115"/>
      <c r="C1043" s="104"/>
      <c r="D1043" s="116"/>
      <c r="E1043" s="104"/>
      <c r="F1043" s="116"/>
      <c r="G1043" s="116"/>
      <c r="H1043" s="106"/>
      <c r="I1043" s="106"/>
      <c r="J1043" s="115"/>
      <c r="K1043" s="94"/>
    </row>
    <row r="1044" spans="1:11" ht="15.75" x14ac:dyDescent="0.25">
      <c r="A1044" s="92"/>
      <c r="B1044" s="115"/>
      <c r="C1044" s="104"/>
      <c r="D1044" s="116"/>
      <c r="E1044" s="104"/>
      <c r="F1044" s="116"/>
      <c r="G1044" s="116"/>
      <c r="H1044" s="106"/>
      <c r="I1044" s="106"/>
      <c r="J1044" s="115"/>
      <c r="K1044" s="94"/>
    </row>
    <row r="1045" spans="1:11" ht="15.75" x14ac:dyDescent="0.25">
      <c r="A1045" s="92"/>
      <c r="B1045" s="115"/>
      <c r="C1045" s="104"/>
      <c r="D1045" s="116"/>
      <c r="E1045" s="104"/>
      <c r="F1045" s="116"/>
      <c r="G1045" s="116"/>
      <c r="H1045" s="106"/>
      <c r="I1045" s="106"/>
      <c r="J1045" s="115"/>
      <c r="K1045" s="94"/>
    </row>
    <row r="1046" spans="1:11" ht="15.75" x14ac:dyDescent="0.25">
      <c r="A1046" s="92"/>
      <c r="B1046" s="115"/>
      <c r="C1046" s="104"/>
      <c r="D1046" s="116"/>
      <c r="E1046" s="104"/>
      <c r="F1046" s="116"/>
      <c r="G1046" s="116"/>
      <c r="H1046" s="106"/>
      <c r="I1046" s="106"/>
      <c r="J1046" s="115"/>
      <c r="K1046" s="94"/>
    </row>
    <row r="1047" spans="1:11" ht="15.75" x14ac:dyDescent="0.25">
      <c r="A1047" s="92"/>
      <c r="B1047" s="115"/>
      <c r="C1047" s="104"/>
      <c r="D1047" s="116"/>
      <c r="E1047" s="104"/>
      <c r="F1047" s="116"/>
      <c r="G1047" s="116"/>
      <c r="H1047" s="106"/>
      <c r="I1047" s="106"/>
      <c r="J1047" s="115"/>
      <c r="K1047" s="94"/>
    </row>
    <row r="1048" spans="1:11" ht="15.75" x14ac:dyDescent="0.25">
      <c r="A1048" s="92"/>
      <c r="B1048" s="115"/>
      <c r="C1048" s="104"/>
      <c r="D1048" s="116"/>
      <c r="E1048" s="104"/>
      <c r="F1048" s="116"/>
      <c r="G1048" s="116"/>
      <c r="H1048" s="106"/>
      <c r="I1048" s="106"/>
      <c r="J1048" s="115"/>
      <c r="K1048" s="94"/>
    </row>
    <row r="1049" spans="1:11" ht="15.75" x14ac:dyDescent="0.25">
      <c r="A1049" s="92"/>
      <c r="B1049" s="115"/>
      <c r="C1049" s="104"/>
      <c r="D1049" s="116"/>
      <c r="E1049" s="104"/>
      <c r="F1049" s="116"/>
      <c r="G1049" s="116"/>
      <c r="H1049" s="106"/>
      <c r="I1049" s="106"/>
      <c r="J1049" s="115"/>
      <c r="K1049" s="94"/>
    </row>
    <row r="1050" spans="1:11" ht="15.75" x14ac:dyDescent="0.25">
      <c r="A1050" s="92"/>
      <c r="B1050" s="115"/>
      <c r="C1050" s="104"/>
      <c r="D1050" s="116"/>
      <c r="E1050" s="104"/>
      <c r="F1050" s="116"/>
      <c r="G1050" s="116"/>
      <c r="H1050" s="106"/>
      <c r="I1050" s="106"/>
      <c r="J1050" s="115"/>
      <c r="K1050" s="94"/>
    </row>
    <row r="1051" spans="1:11" ht="15.75" x14ac:dyDescent="0.25">
      <c r="A1051" s="92"/>
      <c r="B1051" s="115"/>
      <c r="C1051" s="104"/>
      <c r="D1051" s="116"/>
      <c r="E1051" s="104"/>
      <c r="F1051" s="116"/>
      <c r="G1051" s="116"/>
      <c r="H1051" s="106"/>
      <c r="I1051" s="106"/>
      <c r="J1051" s="115"/>
      <c r="K1051" s="94"/>
    </row>
    <row r="1052" spans="1:11" ht="15.75" x14ac:dyDescent="0.25">
      <c r="A1052" s="92"/>
      <c r="B1052" s="115"/>
      <c r="C1052" s="104"/>
      <c r="D1052" s="116"/>
      <c r="E1052" s="104"/>
      <c r="F1052" s="116"/>
      <c r="G1052" s="116"/>
      <c r="H1052" s="106"/>
      <c r="I1052" s="106"/>
      <c r="J1052" s="115"/>
      <c r="K1052" s="94"/>
    </row>
    <row r="1053" spans="1:11" ht="15.75" x14ac:dyDescent="0.25">
      <c r="A1053" s="92"/>
      <c r="B1053" s="115"/>
      <c r="C1053" s="104"/>
      <c r="D1053" s="116"/>
      <c r="E1053" s="104"/>
      <c r="F1053" s="116"/>
      <c r="G1053" s="116"/>
      <c r="H1053" s="106"/>
      <c r="I1053" s="106"/>
      <c r="J1053" s="115"/>
      <c r="K1053" s="94"/>
    </row>
    <row r="1054" spans="1:11" ht="15.75" x14ac:dyDescent="0.25">
      <c r="A1054" s="92"/>
      <c r="B1054" s="115"/>
      <c r="C1054" s="104"/>
      <c r="D1054" s="116"/>
      <c r="E1054" s="104"/>
      <c r="F1054" s="116"/>
      <c r="G1054" s="116"/>
      <c r="H1054" s="106"/>
      <c r="I1054" s="106"/>
      <c r="J1054" s="115"/>
      <c r="K1054" s="94"/>
    </row>
    <row r="1055" spans="1:11" ht="15.75" x14ac:dyDescent="0.25">
      <c r="A1055" s="92"/>
      <c r="B1055" s="115"/>
      <c r="C1055" s="104"/>
      <c r="D1055" s="116"/>
      <c r="E1055" s="104"/>
      <c r="F1055" s="116"/>
      <c r="G1055" s="116"/>
      <c r="H1055" s="106"/>
      <c r="I1055" s="106"/>
      <c r="J1055" s="115"/>
      <c r="K1055" s="94"/>
    </row>
    <row r="1056" spans="1:11" ht="15.75" x14ac:dyDescent="0.25">
      <c r="A1056" s="92"/>
      <c r="B1056" s="115"/>
      <c r="C1056" s="104"/>
      <c r="D1056" s="116"/>
      <c r="E1056" s="104"/>
      <c r="F1056" s="116"/>
      <c r="G1056" s="116"/>
      <c r="H1056" s="106"/>
      <c r="I1056" s="106"/>
      <c r="J1056" s="115"/>
      <c r="K1056" s="94"/>
    </row>
    <row r="1057" spans="1:11" ht="15.75" x14ac:dyDescent="0.25">
      <c r="A1057" s="92"/>
      <c r="B1057" s="115"/>
      <c r="C1057" s="104"/>
      <c r="D1057" s="116"/>
      <c r="E1057" s="104"/>
      <c r="F1057" s="116"/>
      <c r="G1057" s="116"/>
      <c r="H1057" s="106"/>
      <c r="I1057" s="106"/>
      <c r="J1057" s="115"/>
      <c r="K1057" s="94"/>
    </row>
    <row r="1058" spans="1:11" ht="15.75" x14ac:dyDescent="0.25">
      <c r="A1058" s="92"/>
      <c r="B1058" s="115"/>
      <c r="C1058" s="104"/>
      <c r="D1058" s="116"/>
      <c r="E1058" s="104"/>
      <c r="F1058" s="116"/>
      <c r="G1058" s="116"/>
      <c r="H1058" s="106"/>
      <c r="I1058" s="106"/>
      <c r="J1058" s="115"/>
      <c r="K1058" s="94"/>
    </row>
    <row r="1059" spans="1:11" ht="15.75" x14ac:dyDescent="0.25">
      <c r="A1059" s="92"/>
      <c r="B1059" s="115"/>
      <c r="C1059" s="104"/>
      <c r="D1059" s="116"/>
      <c r="E1059" s="104"/>
      <c r="F1059" s="116"/>
      <c r="G1059" s="116"/>
      <c r="H1059" s="106"/>
      <c r="I1059" s="106"/>
      <c r="J1059" s="115"/>
      <c r="K1059" s="94"/>
    </row>
    <row r="1060" spans="1:11" ht="15.75" x14ac:dyDescent="0.25">
      <c r="A1060" s="92"/>
      <c r="B1060" s="115"/>
      <c r="C1060" s="104"/>
      <c r="D1060" s="116"/>
      <c r="E1060" s="104"/>
      <c r="F1060" s="116"/>
      <c r="G1060" s="116"/>
      <c r="H1060" s="106"/>
      <c r="I1060" s="106"/>
      <c r="J1060" s="115"/>
      <c r="K1060" s="94"/>
    </row>
    <row r="1061" spans="1:11" ht="15.75" x14ac:dyDescent="0.25">
      <c r="A1061" s="92"/>
      <c r="B1061" s="115"/>
      <c r="C1061" s="104"/>
      <c r="D1061" s="116"/>
      <c r="E1061" s="104"/>
      <c r="F1061" s="116"/>
      <c r="G1061" s="116"/>
      <c r="H1061" s="106"/>
      <c r="I1061" s="106"/>
      <c r="J1061" s="115"/>
      <c r="K1061" s="94"/>
    </row>
    <row r="1062" spans="1:11" x14ac:dyDescent="0.25">
      <c r="A1062" s="92"/>
      <c r="B1062" s="104"/>
      <c r="C1062" s="104"/>
      <c r="D1062" s="181"/>
      <c r="E1062" s="104"/>
      <c r="F1062" s="118"/>
      <c r="G1062" s="118"/>
      <c r="H1062" s="119"/>
      <c r="I1062" s="119"/>
      <c r="J1062" s="106"/>
      <c r="K1062" s="94"/>
    </row>
    <row r="1063" spans="1:11" x14ac:dyDescent="0.25">
      <c r="A1063" s="92"/>
      <c r="B1063" s="104"/>
      <c r="C1063" s="104"/>
      <c r="D1063" s="181"/>
      <c r="E1063" s="104"/>
      <c r="F1063" s="105"/>
      <c r="G1063" s="105"/>
      <c r="H1063" s="106"/>
      <c r="I1063" s="106"/>
      <c r="J1063" s="106"/>
      <c r="K1063" s="94"/>
    </row>
    <row r="1064" spans="1:11" x14ac:dyDescent="0.25">
      <c r="A1064" s="92"/>
      <c r="B1064" s="104"/>
      <c r="C1064" s="104"/>
      <c r="D1064" s="181"/>
      <c r="E1064" s="104"/>
      <c r="F1064" s="118"/>
      <c r="G1064" s="118"/>
      <c r="H1064" s="119"/>
      <c r="I1064" s="119"/>
      <c r="J1064" s="106"/>
      <c r="K1064" s="94"/>
    </row>
    <row r="1065" spans="1:11" x14ac:dyDescent="0.25">
      <c r="A1065" s="92"/>
      <c r="B1065" s="104"/>
      <c r="C1065" s="104"/>
      <c r="D1065" s="181"/>
      <c r="E1065" s="104"/>
      <c r="F1065" s="105"/>
      <c r="G1065" s="105"/>
      <c r="H1065" s="106"/>
      <c r="I1065" s="106"/>
      <c r="J1065" s="106"/>
      <c r="K1065" s="94"/>
    </row>
    <row r="1066" spans="1:11" x14ac:dyDescent="0.25">
      <c r="A1066" s="92"/>
      <c r="B1066" s="104"/>
      <c r="C1066" s="104"/>
      <c r="D1066" s="181"/>
      <c r="E1066" s="104"/>
      <c r="F1066" s="118"/>
      <c r="G1066" s="118"/>
      <c r="H1066" s="119"/>
      <c r="I1066" s="119"/>
      <c r="J1066" s="106"/>
      <c r="K1066" s="94"/>
    </row>
    <row r="1067" spans="1:11" x14ac:dyDescent="0.25">
      <c r="A1067" s="92"/>
      <c r="B1067" s="104"/>
      <c r="C1067" s="104"/>
      <c r="D1067" s="181"/>
      <c r="E1067" s="104"/>
      <c r="F1067" s="105"/>
      <c r="G1067" s="105"/>
      <c r="H1067" s="106"/>
      <c r="I1067" s="106"/>
      <c r="J1067" s="106"/>
      <c r="K1067" s="94"/>
    </row>
    <row r="1068" spans="1:11" x14ac:dyDescent="0.25">
      <c r="A1068" s="92"/>
      <c r="B1068" s="104"/>
      <c r="C1068" s="104"/>
      <c r="D1068" s="181"/>
      <c r="E1068" s="104"/>
      <c r="F1068" s="118"/>
      <c r="G1068" s="118"/>
      <c r="H1068" s="119"/>
      <c r="I1068" s="119"/>
      <c r="J1068" s="106"/>
      <c r="K1068" s="94"/>
    </row>
    <row r="1069" spans="1:11" x14ac:dyDescent="0.25">
      <c r="A1069" s="92"/>
      <c r="B1069" s="104"/>
      <c r="C1069" s="104"/>
      <c r="D1069" s="181"/>
      <c r="E1069" s="104"/>
      <c r="F1069" s="105"/>
      <c r="G1069" s="105"/>
      <c r="H1069" s="106"/>
      <c r="I1069" s="106"/>
      <c r="J1069" s="106"/>
      <c r="K1069" s="94"/>
    </row>
    <row r="1070" spans="1:11" x14ac:dyDescent="0.25">
      <c r="A1070" s="92"/>
      <c r="B1070" s="104"/>
      <c r="C1070" s="104"/>
      <c r="D1070" s="181"/>
      <c r="E1070" s="104"/>
      <c r="F1070" s="118"/>
      <c r="G1070" s="118"/>
      <c r="H1070" s="119"/>
      <c r="I1070" s="119"/>
      <c r="J1070" s="106"/>
      <c r="K1070" s="94"/>
    </row>
    <row r="1071" spans="1:11" x14ac:dyDescent="0.25">
      <c r="A1071" s="92"/>
      <c r="B1071" s="104"/>
      <c r="C1071" s="104"/>
      <c r="D1071" s="181"/>
      <c r="E1071" s="104"/>
      <c r="F1071" s="105"/>
      <c r="G1071" s="105"/>
      <c r="H1071" s="106"/>
      <c r="I1071" s="106"/>
      <c r="J1071" s="106"/>
      <c r="K1071" s="94"/>
    </row>
    <row r="1072" spans="1:11" x14ac:dyDescent="0.25">
      <c r="A1072" s="92"/>
      <c r="B1072" s="104"/>
      <c r="C1072" s="104"/>
      <c r="D1072" s="181"/>
      <c r="E1072" s="104"/>
      <c r="F1072" s="118"/>
      <c r="G1072" s="118"/>
      <c r="H1072" s="119"/>
      <c r="I1072" s="119"/>
      <c r="J1072" s="119"/>
      <c r="K1072" s="94"/>
    </row>
    <row r="1073" spans="1:11" x14ac:dyDescent="0.25">
      <c r="A1073" s="92"/>
      <c r="B1073" s="104"/>
      <c r="C1073" s="104"/>
      <c r="D1073" s="181"/>
      <c r="E1073" s="104"/>
      <c r="F1073" s="105"/>
      <c r="G1073" s="105"/>
      <c r="H1073" s="106"/>
      <c r="I1073" s="106"/>
      <c r="J1073" s="106"/>
      <c r="K1073" s="94"/>
    </row>
    <row r="1074" spans="1:11" x14ac:dyDescent="0.25">
      <c r="A1074" s="92"/>
      <c r="B1074" s="104"/>
      <c r="C1074" s="104"/>
      <c r="D1074" s="181"/>
      <c r="E1074" s="104"/>
      <c r="F1074" s="118"/>
      <c r="G1074" s="118"/>
      <c r="H1074" s="106"/>
      <c r="I1074" s="106"/>
      <c r="J1074" s="118"/>
      <c r="K1074" s="94"/>
    </row>
    <row r="1075" spans="1:11" x14ac:dyDescent="0.25">
      <c r="A1075" s="92"/>
      <c r="B1075" s="104"/>
      <c r="C1075" s="104"/>
      <c r="D1075" s="181"/>
      <c r="E1075" s="104"/>
      <c r="F1075" s="105"/>
      <c r="G1075" s="105"/>
      <c r="H1075" s="106"/>
      <c r="I1075" s="106"/>
      <c r="J1075" s="106"/>
      <c r="K1075" s="94"/>
    </row>
    <row r="1076" spans="1:11" x14ac:dyDescent="0.25">
      <c r="A1076" s="92"/>
      <c r="B1076" s="104"/>
      <c r="C1076" s="104"/>
      <c r="D1076" s="104"/>
      <c r="E1076" s="104"/>
      <c r="F1076" s="118"/>
      <c r="G1076" s="118"/>
      <c r="H1076" s="119"/>
      <c r="I1076" s="119"/>
      <c r="J1076" s="106"/>
      <c r="K1076" s="94"/>
    </row>
    <row r="1077" spans="1:11" x14ac:dyDescent="0.25">
      <c r="A1077" s="92"/>
      <c r="B1077" s="104"/>
      <c r="C1077" s="104"/>
      <c r="D1077" s="104"/>
      <c r="E1077" s="104"/>
      <c r="F1077" s="118"/>
      <c r="G1077" s="118"/>
      <c r="H1077" s="119"/>
      <c r="I1077" s="119"/>
      <c r="J1077" s="106"/>
      <c r="K1077" s="94"/>
    </row>
    <row r="1078" spans="1:11" x14ac:dyDescent="0.25">
      <c r="A1078" s="92"/>
      <c r="B1078" s="104"/>
      <c r="C1078" s="104"/>
      <c r="D1078" s="104"/>
      <c r="E1078" s="104"/>
      <c r="F1078" s="118"/>
      <c r="G1078" s="118"/>
      <c r="H1078" s="119"/>
      <c r="I1078" s="119"/>
      <c r="J1078" s="106"/>
      <c r="K1078" s="94"/>
    </row>
    <row r="1079" spans="1:11" x14ac:dyDescent="0.25">
      <c r="A1079" s="92"/>
      <c r="B1079" s="104"/>
      <c r="C1079" s="104"/>
      <c r="D1079" s="104"/>
      <c r="E1079" s="104"/>
      <c r="F1079" s="118"/>
      <c r="G1079" s="118"/>
      <c r="H1079" s="119"/>
      <c r="I1079" s="119"/>
      <c r="J1079" s="119"/>
      <c r="K1079" s="94"/>
    </row>
    <row r="1080" spans="1:11" x14ac:dyDescent="0.25">
      <c r="A1080" s="92"/>
      <c r="B1080" s="104"/>
      <c r="C1080" s="104"/>
      <c r="D1080" s="104"/>
      <c r="E1080" s="104"/>
      <c r="F1080" s="118"/>
      <c r="G1080" s="118"/>
      <c r="H1080" s="119"/>
      <c r="I1080" s="119"/>
      <c r="J1080" s="106"/>
      <c r="K1080" s="94"/>
    </row>
    <row r="1081" spans="1:11" x14ac:dyDescent="0.25">
      <c r="A1081" s="92"/>
      <c r="B1081" s="104"/>
      <c r="C1081" s="104"/>
      <c r="D1081" s="104"/>
      <c r="E1081" s="104"/>
      <c r="F1081" s="118"/>
      <c r="G1081" s="118"/>
      <c r="H1081" s="119"/>
      <c r="I1081" s="106"/>
      <c r="J1081" s="119"/>
      <c r="K1081" s="94"/>
    </row>
    <row r="1082" spans="1:11" x14ac:dyDescent="0.25">
      <c r="A1082" s="92"/>
      <c r="B1082" s="104"/>
      <c r="C1082" s="104"/>
      <c r="D1082" s="104"/>
      <c r="E1082" s="104"/>
      <c r="F1082" s="118"/>
      <c r="G1082" s="118"/>
      <c r="H1082" s="106"/>
      <c r="I1082" s="106"/>
      <c r="J1082" s="119"/>
      <c r="K1082" s="94"/>
    </row>
    <row r="1083" spans="1:11" x14ac:dyDescent="0.25">
      <c r="A1083" s="92"/>
      <c r="B1083" s="104"/>
      <c r="C1083" s="104"/>
      <c r="D1083" s="104"/>
      <c r="E1083" s="104"/>
      <c r="F1083" s="118"/>
      <c r="G1083" s="118"/>
      <c r="H1083" s="119"/>
      <c r="I1083" s="119"/>
      <c r="J1083" s="106"/>
      <c r="K1083" s="94"/>
    </row>
    <row r="1084" spans="1:11" x14ac:dyDescent="0.25">
      <c r="A1084" s="92"/>
      <c r="B1084" s="104"/>
      <c r="C1084" s="104"/>
      <c r="D1084" s="181"/>
      <c r="E1084" s="104"/>
      <c r="F1084" s="118"/>
      <c r="G1084" s="118"/>
      <c r="H1084" s="119"/>
      <c r="I1084" s="119"/>
      <c r="J1084" s="119"/>
      <c r="K1084" s="94"/>
    </row>
    <row r="1085" spans="1:11" x14ac:dyDescent="0.25">
      <c r="A1085" s="92"/>
      <c r="B1085" s="104"/>
      <c r="C1085" s="104"/>
      <c r="D1085" s="181"/>
      <c r="E1085" s="104"/>
      <c r="F1085" s="105"/>
      <c r="G1085" s="105"/>
      <c r="H1085" s="106"/>
      <c r="I1085" s="106"/>
      <c r="J1085" s="106"/>
      <c r="K1085" s="94"/>
    </row>
    <row r="1086" spans="1:11" x14ac:dyDescent="0.25">
      <c r="A1086" s="92"/>
      <c r="B1086" s="104"/>
      <c r="C1086" s="104"/>
      <c r="D1086" s="104"/>
      <c r="E1086" s="104"/>
      <c r="F1086" s="118"/>
      <c r="G1086" s="118"/>
      <c r="H1086" s="119"/>
      <c r="I1086" s="119"/>
      <c r="J1086" s="106"/>
      <c r="K1086" s="94"/>
    </row>
    <row r="1087" spans="1:11" x14ac:dyDescent="0.25">
      <c r="A1087" s="92"/>
      <c r="B1087" s="104"/>
      <c r="C1087" s="104"/>
      <c r="D1087" s="181"/>
      <c r="E1087" s="104"/>
      <c r="F1087" s="118"/>
      <c r="G1087" s="118"/>
      <c r="H1087" s="119"/>
      <c r="I1087" s="119"/>
      <c r="J1087" s="119"/>
      <c r="K1087" s="94"/>
    </row>
    <row r="1088" spans="1:11" x14ac:dyDescent="0.25">
      <c r="A1088" s="92"/>
      <c r="B1088" s="104"/>
      <c r="C1088" s="104"/>
      <c r="D1088" s="181"/>
      <c r="E1088" s="104"/>
      <c r="F1088" s="105"/>
      <c r="G1088" s="105"/>
      <c r="H1088" s="106"/>
      <c r="I1088" s="106"/>
      <c r="J1088" s="106"/>
      <c r="K1088" s="94"/>
    </row>
    <row r="1089" spans="1:11" x14ac:dyDescent="0.25">
      <c r="A1089" s="92"/>
      <c r="B1089" s="104"/>
      <c r="C1089" s="104"/>
      <c r="D1089" s="181"/>
      <c r="E1089" s="104"/>
      <c r="F1089" s="118"/>
      <c r="G1089" s="118"/>
      <c r="H1089" s="119"/>
      <c r="I1089" s="119"/>
      <c r="J1089" s="119"/>
      <c r="K1089" s="94"/>
    </row>
    <row r="1090" spans="1:11" x14ac:dyDescent="0.25">
      <c r="A1090" s="92"/>
      <c r="B1090" s="104"/>
      <c r="C1090" s="104"/>
      <c r="D1090" s="181"/>
      <c r="E1090" s="104"/>
      <c r="F1090" s="105"/>
      <c r="G1090" s="105"/>
      <c r="H1090" s="106"/>
      <c r="I1090" s="106"/>
      <c r="J1090" s="106"/>
      <c r="K1090" s="94"/>
    </row>
    <row r="1091" spans="1:11" x14ac:dyDescent="0.25">
      <c r="A1091" s="92"/>
      <c r="B1091" s="104"/>
      <c r="C1091" s="104"/>
      <c r="D1091" s="181"/>
      <c r="E1091" s="104"/>
      <c r="F1091" s="118"/>
      <c r="G1091" s="118"/>
      <c r="H1091" s="119"/>
      <c r="I1091" s="119"/>
      <c r="J1091" s="119"/>
      <c r="K1091" s="94"/>
    </row>
    <row r="1092" spans="1:11" x14ac:dyDescent="0.25">
      <c r="A1092" s="92"/>
      <c r="B1092" s="104"/>
      <c r="C1092" s="104"/>
      <c r="D1092" s="181"/>
      <c r="E1092" s="104"/>
      <c r="F1092" s="105"/>
      <c r="G1092" s="105"/>
      <c r="H1092" s="106"/>
      <c r="I1092" s="106"/>
      <c r="J1092" s="106"/>
      <c r="K1092" s="94"/>
    </row>
    <row r="1093" spans="1:11" x14ac:dyDescent="0.25">
      <c r="A1093" s="92"/>
      <c r="B1093" s="104"/>
      <c r="C1093" s="104"/>
      <c r="D1093" s="104"/>
      <c r="E1093" s="104"/>
      <c r="F1093" s="118"/>
      <c r="G1093" s="118"/>
      <c r="H1093" s="119"/>
      <c r="I1093" s="119"/>
      <c r="J1093" s="119"/>
      <c r="K1093" s="94"/>
    </row>
    <row r="1094" spans="1:11" x14ac:dyDescent="0.25">
      <c r="A1094" s="92"/>
      <c r="B1094" s="104"/>
      <c r="C1094" s="104"/>
      <c r="D1094" s="181"/>
      <c r="E1094" s="104"/>
      <c r="F1094" s="118"/>
      <c r="G1094" s="118"/>
      <c r="H1094" s="119"/>
      <c r="I1094" s="119"/>
      <c r="J1094" s="119"/>
      <c r="K1094" s="94"/>
    </row>
    <row r="1095" spans="1:11" x14ac:dyDescent="0.25">
      <c r="A1095" s="92"/>
      <c r="B1095" s="104"/>
      <c r="C1095" s="104"/>
      <c r="D1095" s="181"/>
      <c r="E1095" s="104"/>
      <c r="F1095" s="105"/>
      <c r="G1095" s="105"/>
      <c r="H1095" s="106"/>
      <c r="I1095" s="106"/>
      <c r="J1095" s="106"/>
      <c r="K1095" s="94"/>
    </row>
    <row r="1096" spans="1:11" x14ac:dyDescent="0.25">
      <c r="A1096" s="92"/>
      <c r="B1096" s="104"/>
      <c r="C1096" s="104"/>
      <c r="D1096" s="181"/>
      <c r="E1096" s="104"/>
      <c r="F1096" s="118"/>
      <c r="G1096" s="118"/>
      <c r="H1096" s="119"/>
      <c r="I1096" s="119"/>
      <c r="J1096" s="119"/>
      <c r="K1096" s="94"/>
    </row>
    <row r="1097" spans="1:11" x14ac:dyDescent="0.25">
      <c r="A1097" s="92"/>
      <c r="B1097" s="104"/>
      <c r="C1097" s="104"/>
      <c r="D1097" s="181"/>
      <c r="E1097" s="104"/>
      <c r="F1097" s="105"/>
      <c r="G1097" s="105"/>
      <c r="H1097" s="106"/>
      <c r="I1097" s="106"/>
      <c r="J1097" s="106"/>
      <c r="K1097" s="94"/>
    </row>
    <row r="1098" spans="1:11" x14ac:dyDescent="0.25">
      <c r="A1098" s="92"/>
      <c r="B1098" s="104"/>
      <c r="C1098" s="104"/>
      <c r="D1098" s="104"/>
      <c r="E1098" s="104"/>
      <c r="F1098" s="118"/>
      <c r="G1098" s="118"/>
      <c r="H1098" s="119"/>
      <c r="I1098" s="119"/>
      <c r="J1098" s="119"/>
      <c r="K1098" s="94"/>
    </row>
    <row r="1099" spans="1:11" x14ac:dyDescent="0.25">
      <c r="A1099" s="92"/>
      <c r="B1099" s="104"/>
      <c r="C1099" s="104"/>
      <c r="D1099" s="181"/>
      <c r="E1099" s="104"/>
      <c r="F1099" s="118"/>
      <c r="G1099" s="118"/>
      <c r="H1099" s="119"/>
      <c r="I1099" s="119"/>
      <c r="J1099" s="119"/>
      <c r="K1099" s="94"/>
    </row>
    <row r="1100" spans="1:11" x14ac:dyDescent="0.25">
      <c r="A1100" s="92"/>
      <c r="B1100" s="104"/>
      <c r="C1100" s="104"/>
      <c r="D1100" s="181"/>
      <c r="E1100" s="104"/>
      <c r="F1100" s="105"/>
      <c r="G1100" s="105"/>
      <c r="H1100" s="106"/>
      <c r="I1100" s="106"/>
      <c r="J1100" s="106"/>
      <c r="K1100" s="94"/>
    </row>
    <row r="1101" spans="1:11" x14ac:dyDescent="0.25">
      <c r="A1101" s="92"/>
      <c r="B1101" s="104"/>
      <c r="C1101" s="104"/>
      <c r="D1101" s="104"/>
      <c r="E1101" s="104"/>
      <c r="F1101" s="118"/>
      <c r="G1101" s="118"/>
      <c r="H1101" s="119"/>
      <c r="I1101" s="119"/>
      <c r="J1101" s="119"/>
      <c r="K1101" s="94"/>
    </row>
    <row r="1102" spans="1:11" x14ac:dyDescent="0.25">
      <c r="A1102" s="92"/>
      <c r="B1102" s="104"/>
      <c r="C1102" s="104"/>
      <c r="D1102" s="104"/>
      <c r="E1102" s="104"/>
      <c r="F1102" s="118"/>
      <c r="G1102" s="118"/>
      <c r="H1102" s="119"/>
      <c r="I1102" s="119"/>
      <c r="J1102" s="119"/>
      <c r="K1102" s="94"/>
    </row>
    <row r="1103" spans="1:11" x14ac:dyDescent="0.25">
      <c r="A1103" s="92"/>
      <c r="B1103" s="104"/>
      <c r="C1103" s="104"/>
      <c r="D1103" s="181"/>
      <c r="E1103" s="104"/>
      <c r="F1103" s="118"/>
      <c r="G1103" s="118"/>
      <c r="H1103" s="119"/>
      <c r="I1103" s="119"/>
      <c r="J1103" s="119"/>
      <c r="K1103" s="94"/>
    </row>
    <row r="1104" spans="1:11" x14ac:dyDescent="0.25">
      <c r="A1104" s="92"/>
      <c r="B1104" s="104"/>
      <c r="C1104" s="104"/>
      <c r="D1104" s="181"/>
      <c r="E1104" s="104"/>
      <c r="F1104" s="105"/>
      <c r="G1104" s="105"/>
      <c r="H1104" s="106"/>
      <c r="I1104" s="106"/>
      <c r="J1104" s="106"/>
      <c r="K1104" s="94"/>
    </row>
    <row r="1105" spans="1:11" x14ac:dyDescent="0.25">
      <c r="A1105" s="92"/>
      <c r="B1105" s="104"/>
      <c r="C1105" s="104"/>
      <c r="D1105" s="181"/>
      <c r="E1105" s="104"/>
      <c r="F1105" s="118"/>
      <c r="G1105" s="118"/>
      <c r="H1105" s="119"/>
      <c r="I1105" s="119"/>
      <c r="J1105" s="119"/>
      <c r="K1105" s="94"/>
    </row>
    <row r="1106" spans="1:11" x14ac:dyDescent="0.25">
      <c r="A1106" s="92"/>
      <c r="B1106" s="104"/>
      <c r="C1106" s="104"/>
      <c r="D1106" s="181"/>
      <c r="E1106" s="104"/>
      <c r="F1106" s="105"/>
      <c r="G1106" s="105"/>
      <c r="H1106" s="106"/>
      <c r="I1106" s="106"/>
      <c r="J1106" s="106"/>
      <c r="K1106" s="94"/>
    </row>
    <row r="1107" spans="1:11" x14ac:dyDescent="0.25">
      <c r="A1107" s="92"/>
      <c r="B1107" s="104"/>
      <c r="C1107" s="104"/>
      <c r="D1107" s="104"/>
      <c r="E1107" s="104"/>
      <c r="F1107" s="118"/>
      <c r="G1107" s="118"/>
      <c r="H1107" s="119"/>
      <c r="I1107" s="119"/>
      <c r="J1107" s="119"/>
      <c r="K1107" s="94"/>
    </row>
    <row r="1108" spans="1:11" x14ac:dyDescent="0.25">
      <c r="A1108" s="92"/>
      <c r="B1108" s="104"/>
      <c r="C1108" s="104"/>
      <c r="D1108" s="104"/>
      <c r="E1108" s="104"/>
      <c r="F1108" s="118"/>
      <c r="G1108" s="118"/>
      <c r="H1108" s="119"/>
      <c r="I1108" s="119"/>
      <c r="J1108" s="119"/>
      <c r="K1108" s="94"/>
    </row>
    <row r="1109" spans="1:11" x14ac:dyDescent="0.25">
      <c r="A1109" s="92"/>
      <c r="B1109" s="104"/>
      <c r="C1109" s="104"/>
      <c r="D1109" s="104"/>
      <c r="E1109" s="104"/>
      <c r="F1109" s="118"/>
      <c r="G1109" s="118"/>
      <c r="H1109" s="119"/>
      <c r="I1109" s="119"/>
      <c r="J1109" s="119"/>
      <c r="K1109" s="94"/>
    </row>
    <row r="1110" spans="1:11" x14ac:dyDescent="0.25">
      <c r="A1110" s="92"/>
      <c r="B1110" s="104"/>
      <c r="C1110" s="104"/>
      <c r="D1110" s="104"/>
      <c r="E1110" s="104"/>
      <c r="F1110" s="118"/>
      <c r="G1110" s="118"/>
      <c r="H1110" s="119"/>
      <c r="I1110" s="119"/>
      <c r="J1110" s="119"/>
      <c r="K1110" s="94"/>
    </row>
    <row r="1111" spans="1:11" x14ac:dyDescent="0.25">
      <c r="A1111" s="92"/>
      <c r="B1111" s="104"/>
      <c r="C1111" s="104"/>
      <c r="D1111" s="104"/>
      <c r="E1111" s="104"/>
      <c r="F1111" s="118"/>
      <c r="G1111" s="118"/>
      <c r="H1111" s="119"/>
      <c r="I1111" s="119"/>
      <c r="J1111" s="119"/>
      <c r="K1111" s="94"/>
    </row>
    <row r="1112" spans="1:11" x14ac:dyDescent="0.25">
      <c r="A1112" s="92"/>
      <c r="B1112" s="104"/>
      <c r="C1112" s="104"/>
      <c r="D1112" s="104"/>
      <c r="E1112" s="104"/>
      <c r="F1112" s="118"/>
      <c r="G1112" s="118"/>
      <c r="H1112" s="119"/>
      <c r="I1112" s="119"/>
      <c r="J1112" s="119"/>
      <c r="K1112" s="94"/>
    </row>
    <row r="1113" spans="1:11" x14ac:dyDescent="0.25">
      <c r="A1113" s="92"/>
      <c r="B1113" s="104"/>
      <c r="C1113" s="104"/>
      <c r="D1113" s="104"/>
      <c r="E1113" s="104"/>
      <c r="F1113" s="118"/>
      <c r="G1113" s="118"/>
      <c r="H1113" s="119"/>
      <c r="I1113" s="119"/>
      <c r="J1113" s="119"/>
      <c r="K1113" s="94"/>
    </row>
    <row r="1114" spans="1:11" x14ac:dyDescent="0.25">
      <c r="A1114" s="92"/>
      <c r="B1114" s="104"/>
      <c r="C1114" s="104"/>
      <c r="D1114" s="181"/>
      <c r="E1114" s="104"/>
      <c r="F1114" s="118"/>
      <c r="G1114" s="118"/>
      <c r="H1114" s="119"/>
      <c r="I1114" s="119"/>
      <c r="J1114" s="119"/>
      <c r="K1114" s="94"/>
    </row>
    <row r="1115" spans="1:11" x14ac:dyDescent="0.25">
      <c r="A1115" s="92"/>
      <c r="B1115" s="104"/>
      <c r="C1115" s="104"/>
      <c r="D1115" s="181"/>
      <c r="E1115" s="104"/>
      <c r="F1115" s="105"/>
      <c r="G1115" s="105"/>
      <c r="H1115" s="106"/>
      <c r="I1115" s="106"/>
      <c r="J1115" s="106"/>
      <c r="K1115" s="94"/>
    </row>
    <row r="1116" spans="1:11" x14ac:dyDescent="0.25">
      <c r="A1116" s="92"/>
      <c r="B1116" s="104"/>
      <c r="C1116" s="104"/>
      <c r="D1116" s="181"/>
      <c r="E1116" s="104"/>
      <c r="F1116" s="118"/>
      <c r="G1116" s="118"/>
      <c r="H1116" s="119"/>
      <c r="I1116" s="119"/>
      <c r="J1116" s="119"/>
      <c r="K1116" s="94"/>
    </row>
    <row r="1117" spans="1:11" x14ac:dyDescent="0.25">
      <c r="A1117" s="92"/>
      <c r="B1117" s="104"/>
      <c r="C1117" s="104"/>
      <c r="D1117" s="181"/>
      <c r="E1117" s="104"/>
      <c r="F1117" s="105"/>
      <c r="G1117" s="105"/>
      <c r="H1117" s="106"/>
      <c r="I1117" s="106"/>
      <c r="J1117" s="106"/>
      <c r="K1117" s="94"/>
    </row>
    <row r="1118" spans="1:11" x14ac:dyDescent="0.25">
      <c r="A1118" s="92"/>
      <c r="B1118" s="104"/>
      <c r="C1118" s="104"/>
      <c r="D1118" s="104"/>
      <c r="E1118" s="104"/>
      <c r="F1118" s="118"/>
      <c r="G1118" s="118"/>
      <c r="H1118" s="119"/>
      <c r="I1118" s="119"/>
      <c r="J1118" s="119"/>
      <c r="K1118" s="94"/>
    </row>
    <row r="1119" spans="1:11" x14ac:dyDescent="0.25">
      <c r="A1119" s="92"/>
      <c r="B1119" s="104"/>
      <c r="C1119" s="104"/>
      <c r="D1119" s="181"/>
      <c r="E1119" s="104"/>
      <c r="F1119" s="118"/>
      <c r="G1119" s="118"/>
      <c r="H1119" s="119"/>
      <c r="I1119" s="119"/>
      <c r="J1119" s="119"/>
      <c r="K1119" s="94"/>
    </row>
    <row r="1120" spans="1:11" x14ac:dyDescent="0.25">
      <c r="A1120" s="92"/>
      <c r="B1120" s="104"/>
      <c r="C1120" s="104"/>
      <c r="D1120" s="181"/>
      <c r="E1120" s="104"/>
      <c r="F1120" s="105"/>
      <c r="G1120" s="105"/>
      <c r="H1120" s="106"/>
      <c r="I1120" s="106"/>
      <c r="J1120" s="106"/>
      <c r="K1120" s="94"/>
    </row>
    <row r="1121" spans="1:11" x14ac:dyDescent="0.25">
      <c r="A1121" s="92"/>
      <c r="B1121" s="104"/>
      <c r="C1121" s="104"/>
      <c r="D1121" s="181"/>
      <c r="E1121" s="104"/>
      <c r="F1121" s="118"/>
      <c r="G1121" s="118"/>
      <c r="H1121" s="119"/>
      <c r="I1121" s="119"/>
      <c r="J1121" s="119"/>
      <c r="K1121" s="94"/>
    </row>
    <row r="1122" spans="1:11" x14ac:dyDescent="0.25">
      <c r="A1122" s="92"/>
      <c r="B1122" s="104"/>
      <c r="C1122" s="104"/>
      <c r="D1122" s="181"/>
      <c r="E1122" s="104"/>
      <c r="F1122" s="105"/>
      <c r="G1122" s="105"/>
      <c r="H1122" s="106"/>
      <c r="I1122" s="106"/>
      <c r="J1122" s="106"/>
      <c r="K1122" s="94"/>
    </row>
    <row r="1123" spans="1:11" x14ac:dyDescent="0.25">
      <c r="A1123" s="92"/>
      <c r="B1123" s="104"/>
      <c r="C1123" s="104"/>
      <c r="D1123" s="181"/>
      <c r="E1123" s="104"/>
      <c r="F1123" s="118"/>
      <c r="G1123" s="118"/>
      <c r="H1123" s="119"/>
      <c r="I1123" s="119"/>
      <c r="J1123" s="106"/>
      <c r="K1123" s="94"/>
    </row>
    <row r="1124" spans="1:11" x14ac:dyDescent="0.25">
      <c r="A1124" s="92"/>
      <c r="B1124" s="104"/>
      <c r="C1124" s="104"/>
      <c r="D1124" s="181"/>
      <c r="E1124" s="104"/>
      <c r="F1124" s="105"/>
      <c r="G1124" s="105"/>
      <c r="H1124" s="106"/>
      <c r="I1124" s="106"/>
      <c r="J1124" s="106"/>
      <c r="K1124" s="94"/>
    </row>
    <row r="1125" spans="1:11" x14ac:dyDescent="0.25">
      <c r="A1125" s="92"/>
      <c r="B1125" s="104"/>
      <c r="C1125" s="104"/>
      <c r="D1125" s="104"/>
      <c r="E1125" s="104"/>
      <c r="F1125" s="118"/>
      <c r="G1125" s="118"/>
      <c r="H1125" s="119"/>
      <c r="I1125" s="119"/>
      <c r="J1125" s="106"/>
      <c r="K1125" s="94"/>
    </row>
    <row r="1126" spans="1:11" x14ac:dyDescent="0.25">
      <c r="A1126" s="92"/>
      <c r="B1126" s="104"/>
      <c r="C1126" s="104"/>
      <c r="D1126" s="104"/>
      <c r="E1126" s="104"/>
      <c r="F1126" s="118"/>
      <c r="G1126" s="118"/>
      <c r="H1126" s="119"/>
      <c r="I1126" s="119"/>
      <c r="J1126" s="119"/>
      <c r="K1126" s="94"/>
    </row>
    <row r="1127" spans="1:11" x14ac:dyDescent="0.25">
      <c r="A1127" s="92"/>
      <c r="B1127" s="120"/>
      <c r="C1127" s="104"/>
      <c r="D1127" s="104"/>
      <c r="E1127" s="104"/>
      <c r="F1127" s="105"/>
      <c r="G1127" s="105"/>
      <c r="H1127" s="106"/>
      <c r="I1127" s="106"/>
      <c r="J1127" s="106"/>
      <c r="K1127" s="94"/>
    </row>
    <row r="1128" spans="1:11" x14ac:dyDescent="0.25">
      <c r="A1128" s="92"/>
      <c r="B1128" s="120"/>
      <c r="C1128" s="104"/>
      <c r="D1128" s="104"/>
      <c r="E1128" s="104"/>
      <c r="F1128" s="105"/>
      <c r="G1128" s="105"/>
      <c r="H1128" s="106"/>
      <c r="I1128" s="106"/>
      <c r="J1128" s="106"/>
      <c r="K1128" s="94"/>
    </row>
    <row r="1129" spans="1:11" x14ac:dyDescent="0.25">
      <c r="A1129" s="92"/>
      <c r="B1129" s="120"/>
      <c r="C1129" s="104"/>
      <c r="D1129" s="104"/>
      <c r="E1129" s="104"/>
      <c r="F1129" s="105"/>
      <c r="G1129" s="105"/>
      <c r="H1129" s="106"/>
      <c r="I1129" s="106"/>
      <c r="J1129" s="106"/>
      <c r="K1129" s="94"/>
    </row>
    <row r="1130" spans="1:11" x14ac:dyDescent="0.25">
      <c r="A1130" s="92"/>
      <c r="B1130" s="120"/>
      <c r="C1130" s="104"/>
      <c r="D1130" s="104"/>
      <c r="E1130" s="104"/>
      <c r="F1130" s="105"/>
      <c r="G1130" s="105"/>
      <c r="H1130" s="106"/>
      <c r="I1130" s="106"/>
      <c r="J1130" s="106"/>
      <c r="K1130" s="94"/>
    </row>
    <row r="1131" spans="1:11" x14ac:dyDescent="0.25">
      <c r="A1131" s="92"/>
      <c r="B1131" s="120"/>
      <c r="C1131" s="104"/>
      <c r="D1131" s="104"/>
      <c r="E1131" s="104"/>
      <c r="F1131" s="105"/>
      <c r="G1131" s="105"/>
      <c r="H1131" s="106"/>
      <c r="I1131" s="106"/>
      <c r="J1131" s="106"/>
      <c r="K1131" s="94"/>
    </row>
    <row r="1132" spans="1:11" x14ac:dyDescent="0.25">
      <c r="A1132" s="92"/>
      <c r="B1132" s="120"/>
      <c r="C1132" s="104"/>
      <c r="D1132" s="104"/>
      <c r="E1132" s="104"/>
      <c r="F1132" s="105"/>
      <c r="G1132" s="105"/>
      <c r="H1132" s="106"/>
      <c r="I1132" s="106"/>
      <c r="J1132" s="106"/>
      <c r="K1132" s="94"/>
    </row>
    <row r="1133" spans="1:11" x14ac:dyDescent="0.25">
      <c r="A1133" s="92"/>
      <c r="B1133" s="120"/>
      <c r="C1133" s="104"/>
      <c r="D1133" s="104"/>
      <c r="E1133" s="104"/>
      <c r="F1133" s="105"/>
      <c r="G1133" s="105"/>
      <c r="H1133" s="106"/>
      <c r="I1133" s="106"/>
      <c r="J1133" s="106"/>
      <c r="K1133" s="94"/>
    </row>
    <row r="1134" spans="1:11" x14ac:dyDescent="0.25">
      <c r="A1134" s="92"/>
      <c r="B1134" s="120"/>
      <c r="C1134" s="104"/>
      <c r="D1134" s="104"/>
      <c r="E1134" s="104"/>
      <c r="F1134" s="105"/>
      <c r="G1134" s="105"/>
      <c r="H1134" s="106"/>
      <c r="I1134" s="106"/>
      <c r="J1134" s="106"/>
      <c r="K1134" s="94"/>
    </row>
    <row r="1135" spans="1:11" x14ac:dyDescent="0.25">
      <c r="A1135" s="92"/>
      <c r="B1135" s="120"/>
      <c r="C1135" s="104"/>
      <c r="D1135" s="104"/>
      <c r="E1135" s="104"/>
      <c r="F1135" s="105"/>
      <c r="G1135" s="105"/>
      <c r="H1135" s="106"/>
      <c r="I1135" s="106"/>
      <c r="J1135" s="106"/>
      <c r="K1135" s="94"/>
    </row>
    <row r="1136" spans="1:11" x14ac:dyDescent="0.25">
      <c r="A1136" s="92"/>
      <c r="B1136" s="120"/>
      <c r="C1136" s="104"/>
      <c r="D1136" s="104"/>
      <c r="E1136" s="104"/>
      <c r="F1136" s="105"/>
      <c r="G1136" s="105"/>
      <c r="H1136" s="106"/>
      <c r="I1136" s="106"/>
      <c r="J1136" s="106"/>
      <c r="K1136" s="94"/>
    </row>
    <row r="1137" spans="1:11" x14ac:dyDescent="0.25">
      <c r="A1137" s="92"/>
      <c r="B1137" s="120"/>
      <c r="C1137" s="104"/>
      <c r="D1137" s="104"/>
      <c r="E1137" s="104"/>
      <c r="F1137" s="105"/>
      <c r="G1137" s="105"/>
      <c r="H1137" s="106"/>
      <c r="I1137" s="106"/>
      <c r="J1137" s="106"/>
      <c r="K1137" s="94"/>
    </row>
    <row r="1138" spans="1:11" x14ac:dyDescent="0.25">
      <c r="A1138" s="121"/>
      <c r="B1138" s="120"/>
      <c r="C1138" s="104"/>
      <c r="D1138" s="104"/>
      <c r="E1138" s="104"/>
      <c r="F1138" s="105"/>
      <c r="G1138" s="105"/>
      <c r="H1138" s="106"/>
      <c r="I1138" s="106"/>
      <c r="J1138" s="106"/>
      <c r="K1138" s="94"/>
    </row>
    <row r="1139" spans="1:11" ht="15.75" x14ac:dyDescent="0.25">
      <c r="A1139" s="121"/>
      <c r="B1139" s="122"/>
      <c r="C1139" s="123"/>
      <c r="D1139" s="124"/>
      <c r="E1139" s="123"/>
      <c r="F1139" s="125"/>
      <c r="G1139" s="125"/>
      <c r="H1139" s="126"/>
      <c r="I1139" s="126"/>
      <c r="J1139" s="126"/>
      <c r="K1139" s="94"/>
    </row>
    <row r="1140" spans="1:11" ht="15.75" x14ac:dyDescent="0.25">
      <c r="A1140" s="121"/>
      <c r="B1140" s="122"/>
      <c r="C1140" s="123"/>
      <c r="D1140" s="124"/>
      <c r="E1140" s="123"/>
      <c r="F1140" s="125"/>
      <c r="G1140" s="125"/>
      <c r="H1140" s="126"/>
      <c r="I1140" s="126"/>
      <c r="J1140" s="126"/>
      <c r="K1140" s="94"/>
    </row>
    <row r="1141" spans="1:11" ht="15.75" x14ac:dyDescent="0.25">
      <c r="A1141" s="121"/>
      <c r="B1141" s="122"/>
      <c r="C1141" s="123"/>
      <c r="D1141" s="124"/>
      <c r="E1141" s="123"/>
      <c r="F1141" s="125"/>
      <c r="G1141" s="125"/>
      <c r="H1141" s="126"/>
      <c r="I1141" s="126"/>
      <c r="J1141" s="126"/>
      <c r="K1141" s="94"/>
    </row>
    <row r="1142" spans="1:11" ht="15.75" x14ac:dyDescent="0.25">
      <c r="A1142" s="121"/>
      <c r="B1142" s="122"/>
      <c r="C1142" s="123"/>
      <c r="D1142" s="124"/>
      <c r="E1142" s="123"/>
      <c r="F1142" s="125"/>
      <c r="G1142" s="125"/>
      <c r="H1142" s="126"/>
      <c r="I1142" s="126"/>
      <c r="J1142" s="126"/>
      <c r="K1142" s="94"/>
    </row>
    <row r="1143" spans="1:11" ht="15.75" x14ac:dyDescent="0.25">
      <c r="A1143" s="121"/>
      <c r="B1143" s="122"/>
      <c r="C1143" s="123"/>
      <c r="D1143" s="124"/>
      <c r="E1143" s="123"/>
      <c r="F1143" s="125"/>
      <c r="G1143" s="125"/>
      <c r="H1143" s="126"/>
      <c r="I1143" s="126"/>
      <c r="J1143" s="126"/>
      <c r="K1143" s="94"/>
    </row>
    <row r="1144" spans="1:11" ht="15.75" x14ac:dyDescent="0.25">
      <c r="A1144" s="121"/>
      <c r="B1144" s="122"/>
      <c r="C1144" s="123"/>
      <c r="D1144" s="124"/>
      <c r="E1144" s="123"/>
      <c r="F1144" s="125"/>
      <c r="G1144" s="125"/>
      <c r="H1144" s="126"/>
      <c r="I1144" s="126"/>
      <c r="J1144" s="126"/>
      <c r="K1144" s="94"/>
    </row>
    <row r="1145" spans="1:11" ht="15.75" x14ac:dyDescent="0.25">
      <c r="A1145" s="121"/>
      <c r="B1145" s="122"/>
      <c r="C1145" s="123"/>
      <c r="D1145" s="124"/>
      <c r="E1145" s="123"/>
      <c r="F1145" s="125"/>
      <c r="G1145" s="125"/>
      <c r="H1145" s="126"/>
      <c r="I1145" s="126"/>
      <c r="J1145" s="126"/>
      <c r="K1145" s="94"/>
    </row>
    <row r="1146" spans="1:11" ht="15.75" x14ac:dyDescent="0.25">
      <c r="A1146" s="121"/>
      <c r="B1146" s="122"/>
      <c r="C1146" s="123"/>
      <c r="D1146" s="124"/>
      <c r="E1146" s="123"/>
      <c r="F1146" s="125"/>
      <c r="G1146" s="125"/>
      <c r="H1146" s="126"/>
      <c r="I1146" s="126"/>
      <c r="J1146" s="126"/>
      <c r="K1146" s="94"/>
    </row>
    <row r="1147" spans="1:11" ht="15.75" x14ac:dyDescent="0.25">
      <c r="A1147" s="121"/>
      <c r="B1147" s="122"/>
      <c r="C1147" s="123"/>
      <c r="D1147" s="124"/>
      <c r="E1147" s="123"/>
      <c r="F1147" s="125"/>
      <c r="G1147" s="125"/>
      <c r="H1147" s="126"/>
      <c r="I1147" s="126"/>
      <c r="J1147" s="126"/>
      <c r="K1147" s="94"/>
    </row>
    <row r="1148" spans="1:11" ht="15.75" x14ac:dyDescent="0.25">
      <c r="A1148" s="121"/>
      <c r="B1148" s="122"/>
      <c r="C1148" s="123"/>
      <c r="D1148" s="124"/>
      <c r="E1148" s="123"/>
      <c r="F1148" s="125"/>
      <c r="G1148" s="125"/>
      <c r="H1148" s="126"/>
      <c r="I1148" s="126"/>
      <c r="J1148" s="126"/>
      <c r="K1148" s="94"/>
    </row>
    <row r="1149" spans="1:11" ht="15.75" x14ac:dyDescent="0.25">
      <c r="A1149" s="121"/>
      <c r="B1149" s="122"/>
      <c r="C1149" s="123"/>
      <c r="D1149" s="124"/>
      <c r="E1149" s="123"/>
      <c r="F1149" s="125"/>
      <c r="G1149" s="125"/>
      <c r="H1149" s="126"/>
      <c r="I1149" s="126"/>
      <c r="J1149" s="126"/>
      <c r="K1149" s="94"/>
    </row>
    <row r="1150" spans="1:11" ht="15.75" x14ac:dyDescent="0.25">
      <c r="A1150" s="121"/>
      <c r="B1150" s="122"/>
      <c r="C1150" s="123"/>
      <c r="D1150" s="124"/>
      <c r="E1150" s="123"/>
      <c r="F1150" s="125"/>
      <c r="G1150" s="125"/>
      <c r="H1150" s="126"/>
      <c r="I1150" s="126"/>
      <c r="J1150" s="126"/>
      <c r="K1150" s="94"/>
    </row>
    <row r="1151" spans="1:11" ht="15.75" x14ac:dyDescent="0.25">
      <c r="A1151" s="121"/>
      <c r="B1151" s="122"/>
      <c r="C1151" s="123"/>
      <c r="D1151" s="124"/>
      <c r="E1151" s="123"/>
      <c r="F1151" s="125"/>
      <c r="G1151" s="125"/>
      <c r="H1151" s="126"/>
      <c r="I1151" s="126"/>
      <c r="J1151" s="126"/>
      <c r="K1151" s="94"/>
    </row>
    <row r="1152" spans="1:11" ht="15.75" x14ac:dyDescent="0.25">
      <c r="A1152" s="121"/>
      <c r="B1152" s="122"/>
      <c r="C1152" s="123"/>
      <c r="D1152" s="124"/>
      <c r="E1152" s="123"/>
      <c r="F1152" s="125"/>
      <c r="G1152" s="125"/>
      <c r="H1152" s="126"/>
      <c r="I1152" s="126"/>
      <c r="J1152" s="126"/>
      <c r="K1152" s="94"/>
    </row>
    <row r="1153" spans="1:11" ht="15.75" x14ac:dyDescent="0.25">
      <c r="A1153" s="121"/>
      <c r="B1153" s="122"/>
      <c r="C1153" s="123"/>
      <c r="D1153" s="124"/>
      <c r="E1153" s="123"/>
      <c r="F1153" s="125"/>
      <c r="G1153" s="125"/>
      <c r="H1153" s="126"/>
      <c r="I1153" s="126"/>
      <c r="J1153" s="126"/>
      <c r="K1153" s="94"/>
    </row>
    <row r="1154" spans="1:11" ht="15.75" x14ac:dyDescent="0.25">
      <c r="A1154" s="121"/>
      <c r="B1154" s="122"/>
      <c r="C1154" s="123"/>
      <c r="D1154" s="124"/>
      <c r="E1154" s="123"/>
      <c r="F1154" s="125"/>
      <c r="G1154" s="125"/>
      <c r="H1154" s="126"/>
      <c r="I1154" s="126"/>
      <c r="J1154" s="126"/>
      <c r="K1154" s="94"/>
    </row>
    <row r="1155" spans="1:11" ht="15.75" x14ac:dyDescent="0.25">
      <c r="A1155" s="121"/>
      <c r="B1155" s="122"/>
      <c r="C1155" s="123"/>
      <c r="D1155" s="124"/>
      <c r="E1155" s="123"/>
      <c r="F1155" s="125"/>
      <c r="G1155" s="125"/>
      <c r="H1155" s="126"/>
      <c r="I1155" s="126"/>
      <c r="J1155" s="126"/>
      <c r="K1155" s="94"/>
    </row>
    <row r="1156" spans="1:11" ht="15.75" x14ac:dyDescent="0.25">
      <c r="A1156" s="121"/>
      <c r="B1156" s="122"/>
      <c r="C1156" s="123"/>
      <c r="D1156" s="124"/>
      <c r="E1156" s="123"/>
      <c r="F1156" s="125"/>
      <c r="G1156" s="125"/>
      <c r="H1156" s="126"/>
      <c r="I1156" s="126"/>
      <c r="J1156" s="126"/>
      <c r="K1156" s="94"/>
    </row>
    <row r="1157" spans="1:11" ht="15.75" x14ac:dyDescent="0.25">
      <c r="A1157" s="121"/>
      <c r="B1157" s="122"/>
      <c r="C1157" s="123"/>
      <c r="D1157" s="124"/>
      <c r="E1157" s="123"/>
      <c r="F1157" s="125"/>
      <c r="G1157" s="125"/>
      <c r="H1157" s="126"/>
      <c r="I1157" s="126"/>
      <c r="J1157" s="126"/>
      <c r="K1157" s="94"/>
    </row>
    <row r="1158" spans="1:11" ht="15.75" x14ac:dyDescent="0.25">
      <c r="A1158" s="121"/>
      <c r="B1158" s="122"/>
      <c r="C1158" s="123"/>
      <c r="D1158" s="124"/>
      <c r="E1158" s="123"/>
      <c r="F1158" s="125"/>
      <c r="G1158" s="125"/>
      <c r="H1158" s="126"/>
      <c r="I1158" s="126"/>
      <c r="J1158" s="126"/>
      <c r="K1158" s="94"/>
    </row>
    <row r="1159" spans="1:11" ht="15.75" x14ac:dyDescent="0.25">
      <c r="A1159" s="121"/>
      <c r="B1159" s="122"/>
      <c r="C1159" s="123"/>
      <c r="D1159" s="124"/>
      <c r="E1159" s="123"/>
      <c r="F1159" s="125"/>
      <c r="G1159" s="125"/>
      <c r="H1159" s="126"/>
      <c r="I1159" s="126"/>
      <c r="J1159" s="126"/>
      <c r="K1159" s="94"/>
    </row>
    <row r="1160" spans="1:11" ht="15.75" x14ac:dyDescent="0.25">
      <c r="A1160" s="121"/>
      <c r="B1160" s="122"/>
      <c r="C1160" s="123"/>
      <c r="D1160" s="124"/>
      <c r="E1160" s="123"/>
      <c r="F1160" s="125"/>
      <c r="G1160" s="125"/>
      <c r="H1160" s="126"/>
      <c r="I1160" s="126"/>
      <c r="J1160" s="126"/>
      <c r="K1160" s="94"/>
    </row>
    <row r="1161" spans="1:11" ht="15.75" x14ac:dyDescent="0.25">
      <c r="A1161" s="121"/>
      <c r="B1161" s="122"/>
      <c r="C1161" s="123"/>
      <c r="D1161" s="124"/>
      <c r="E1161" s="123"/>
      <c r="F1161" s="125"/>
      <c r="G1161" s="125"/>
      <c r="H1161" s="126"/>
      <c r="I1161" s="126"/>
      <c r="J1161" s="126"/>
      <c r="K1161" s="94"/>
    </row>
    <row r="1162" spans="1:11" ht="15.75" x14ac:dyDescent="0.25">
      <c r="A1162" s="121"/>
      <c r="B1162" s="122"/>
      <c r="C1162" s="123"/>
      <c r="D1162" s="124"/>
      <c r="E1162" s="123"/>
      <c r="F1162" s="125"/>
      <c r="G1162" s="125"/>
      <c r="H1162" s="126"/>
      <c r="I1162" s="126"/>
      <c r="J1162" s="126"/>
      <c r="K1162" s="94"/>
    </row>
    <row r="1163" spans="1:11" ht="15.75" x14ac:dyDescent="0.25">
      <c r="A1163" s="121"/>
      <c r="B1163" s="122"/>
      <c r="C1163" s="123"/>
      <c r="D1163" s="124"/>
      <c r="E1163" s="123"/>
      <c r="F1163" s="125"/>
      <c r="G1163" s="125"/>
      <c r="H1163" s="126"/>
      <c r="I1163" s="126"/>
      <c r="J1163" s="126"/>
      <c r="K1163" s="94"/>
    </row>
    <row r="1164" spans="1:11" ht="15.75" x14ac:dyDescent="0.25">
      <c r="A1164" s="121"/>
      <c r="B1164" s="122"/>
      <c r="C1164" s="123"/>
      <c r="D1164" s="124"/>
      <c r="E1164" s="123"/>
      <c r="F1164" s="125"/>
      <c r="G1164" s="125"/>
      <c r="H1164" s="126"/>
      <c r="I1164" s="126"/>
      <c r="J1164" s="126"/>
      <c r="K1164" s="94"/>
    </row>
    <row r="1165" spans="1:11" ht="15.75" x14ac:dyDescent="0.25">
      <c r="A1165" s="121"/>
      <c r="B1165" s="122"/>
      <c r="C1165" s="123"/>
      <c r="D1165" s="124"/>
      <c r="E1165" s="123"/>
      <c r="F1165" s="125"/>
      <c r="G1165" s="125"/>
      <c r="H1165" s="126"/>
      <c r="I1165" s="126"/>
      <c r="J1165" s="126"/>
      <c r="K1165" s="94"/>
    </row>
    <row r="1166" spans="1:11" ht="15.75" x14ac:dyDescent="0.25">
      <c r="A1166" s="121"/>
      <c r="B1166" s="122"/>
      <c r="C1166" s="123"/>
      <c r="D1166" s="124"/>
      <c r="E1166" s="123"/>
      <c r="F1166" s="125"/>
      <c r="G1166" s="125"/>
      <c r="H1166" s="126"/>
      <c r="I1166" s="126"/>
      <c r="J1166" s="126"/>
      <c r="K1166" s="94"/>
    </row>
    <row r="1167" spans="1:11" ht="15.75" x14ac:dyDescent="0.25">
      <c r="A1167" s="121"/>
      <c r="B1167" s="122"/>
      <c r="C1167" s="123"/>
      <c r="D1167" s="122"/>
      <c r="E1167" s="123"/>
      <c r="F1167" s="125"/>
      <c r="G1167" s="125"/>
      <c r="H1167" s="126"/>
      <c r="I1167" s="126"/>
      <c r="J1167" s="126"/>
      <c r="K1167" s="94"/>
    </row>
    <row r="1168" spans="1:11" ht="15.75" x14ac:dyDescent="0.25">
      <c r="A1168" s="121"/>
      <c r="B1168" s="122"/>
      <c r="C1168" s="123"/>
      <c r="D1168" s="124"/>
      <c r="E1168" s="123"/>
      <c r="F1168" s="125"/>
      <c r="G1168" s="125"/>
      <c r="H1168" s="126"/>
      <c r="I1168" s="126"/>
      <c r="J1168" s="126"/>
      <c r="K1168" s="94"/>
    </row>
    <row r="1169" spans="1:11" ht="15.75" x14ac:dyDescent="0.25">
      <c r="A1169" s="121"/>
      <c r="B1169" s="122"/>
      <c r="C1169" s="123"/>
      <c r="D1169" s="123"/>
      <c r="E1169" s="123"/>
      <c r="F1169" s="125"/>
      <c r="G1169" s="125"/>
      <c r="H1169" s="126"/>
      <c r="I1169" s="126"/>
      <c r="J1169" s="126"/>
      <c r="K1169" s="94"/>
    </row>
    <row r="1170" spans="1:11" ht="15.75" x14ac:dyDescent="0.25">
      <c r="A1170" s="121"/>
      <c r="B1170" s="122"/>
      <c r="C1170" s="123"/>
      <c r="D1170" s="123"/>
      <c r="E1170" s="123"/>
      <c r="F1170" s="125"/>
      <c r="G1170" s="125"/>
      <c r="H1170" s="126"/>
      <c r="I1170" s="126"/>
      <c r="J1170" s="126"/>
      <c r="K1170" s="94"/>
    </row>
    <row r="1171" spans="1:11" ht="15.75" x14ac:dyDescent="0.25">
      <c r="A1171" s="121"/>
      <c r="B1171" s="122"/>
      <c r="C1171" s="123"/>
      <c r="D1171" s="123"/>
      <c r="E1171" s="123"/>
      <c r="F1171" s="125"/>
      <c r="G1171" s="125"/>
      <c r="H1171" s="126"/>
      <c r="I1171" s="126"/>
      <c r="J1171" s="126"/>
      <c r="K1171" s="94"/>
    </row>
    <row r="1172" spans="1:11" ht="15.75" x14ac:dyDescent="0.25">
      <c r="A1172" s="121"/>
      <c r="B1172" s="122"/>
      <c r="C1172" s="123"/>
      <c r="D1172" s="123"/>
      <c r="E1172" s="123"/>
      <c r="F1172" s="125"/>
      <c r="G1172" s="125"/>
      <c r="H1172" s="126"/>
      <c r="I1172" s="126"/>
      <c r="J1172" s="126"/>
      <c r="K1172" s="94"/>
    </row>
    <row r="1173" spans="1:11" ht="15.75" x14ac:dyDescent="0.25">
      <c r="A1173" s="121"/>
      <c r="B1173" s="122"/>
      <c r="C1173" s="123"/>
      <c r="D1173" s="123"/>
      <c r="E1173" s="123"/>
      <c r="F1173" s="125"/>
      <c r="G1173" s="125"/>
      <c r="H1173" s="126"/>
      <c r="I1173" s="126"/>
      <c r="J1173" s="126"/>
      <c r="K1173" s="94"/>
    </row>
    <row r="1174" spans="1:11" ht="15.75" x14ac:dyDescent="0.25">
      <c r="A1174" s="121"/>
      <c r="B1174" s="122"/>
      <c r="C1174" s="123"/>
      <c r="D1174" s="123"/>
      <c r="E1174" s="123"/>
      <c r="F1174" s="125"/>
      <c r="G1174" s="125"/>
      <c r="H1174" s="126"/>
      <c r="I1174" s="126"/>
      <c r="J1174" s="126"/>
      <c r="K1174" s="94"/>
    </row>
    <row r="1175" spans="1:11" ht="15.75" x14ac:dyDescent="0.25">
      <c r="A1175" s="121"/>
      <c r="B1175" s="122"/>
      <c r="C1175" s="123"/>
      <c r="D1175" s="123"/>
      <c r="E1175" s="123"/>
      <c r="F1175" s="125"/>
      <c r="G1175" s="125"/>
      <c r="H1175" s="126"/>
      <c r="I1175" s="126"/>
      <c r="J1175" s="126"/>
      <c r="K1175" s="94"/>
    </row>
    <row r="1176" spans="1:11" ht="15.75" x14ac:dyDescent="0.25">
      <c r="A1176" s="121"/>
      <c r="B1176" s="122"/>
      <c r="C1176" s="123"/>
      <c r="D1176" s="123"/>
      <c r="E1176" s="123"/>
      <c r="F1176" s="125"/>
      <c r="G1176" s="125"/>
      <c r="H1176" s="126"/>
      <c r="I1176" s="126"/>
      <c r="J1176" s="126"/>
      <c r="K1176" s="94"/>
    </row>
    <row r="1177" spans="1:11" ht="15.75" x14ac:dyDescent="0.25">
      <c r="A1177" s="121"/>
      <c r="B1177" s="122"/>
      <c r="C1177" s="123"/>
      <c r="D1177" s="123"/>
      <c r="E1177" s="123"/>
      <c r="F1177" s="125"/>
      <c r="G1177" s="125"/>
      <c r="H1177" s="126"/>
      <c r="I1177" s="126"/>
      <c r="J1177" s="126"/>
      <c r="K1177" s="94"/>
    </row>
    <row r="1178" spans="1:11" ht="15.75" x14ac:dyDescent="0.25">
      <c r="A1178" s="121"/>
      <c r="B1178" s="122"/>
      <c r="C1178" s="123"/>
      <c r="D1178" s="123"/>
      <c r="E1178" s="123"/>
      <c r="F1178" s="125"/>
      <c r="G1178" s="125"/>
      <c r="H1178" s="126"/>
      <c r="I1178" s="126"/>
      <c r="J1178" s="126"/>
      <c r="K1178" s="94"/>
    </row>
    <row r="1179" spans="1:11" ht="15.75" x14ac:dyDescent="0.25">
      <c r="A1179" s="121"/>
      <c r="B1179" s="122"/>
      <c r="C1179" s="123"/>
      <c r="D1179" s="123"/>
      <c r="E1179" s="123"/>
      <c r="F1179" s="125"/>
      <c r="G1179" s="125"/>
      <c r="H1179" s="126"/>
      <c r="I1179" s="126"/>
      <c r="J1179" s="126"/>
      <c r="K1179" s="94"/>
    </row>
    <row r="1180" spans="1:11" ht="15.75" x14ac:dyDescent="0.25">
      <c r="A1180" s="92"/>
      <c r="B1180" s="122"/>
      <c r="C1180" s="123"/>
      <c r="D1180" s="123"/>
      <c r="E1180" s="123"/>
      <c r="F1180" s="125"/>
      <c r="G1180" s="125"/>
      <c r="H1180" s="126"/>
      <c r="I1180" s="126"/>
      <c r="J1180" s="126"/>
      <c r="K1180" s="94"/>
    </row>
    <row r="1181" spans="1:11" x14ac:dyDescent="0.25">
      <c r="A1181" s="92"/>
      <c r="C1181" s="104"/>
      <c r="D1181" s="104"/>
      <c r="E1181" s="104"/>
      <c r="F1181" s="105"/>
      <c r="G1181" s="105"/>
      <c r="H1181" s="106"/>
      <c r="I1181" s="106"/>
      <c r="J1181" s="106"/>
      <c r="K1181" s="94"/>
    </row>
    <row r="1182" spans="1:11" x14ac:dyDescent="0.25">
      <c r="A1182" s="92"/>
      <c r="C1182" s="104"/>
      <c r="D1182" s="104"/>
      <c r="E1182" s="104"/>
      <c r="F1182" s="105"/>
      <c r="G1182" s="105"/>
      <c r="H1182" s="106"/>
      <c r="I1182" s="106"/>
      <c r="J1182" s="106"/>
      <c r="K1182" s="94"/>
    </row>
    <row r="1183" spans="1:11" x14ac:dyDescent="0.25">
      <c r="A1183" s="92"/>
      <c r="C1183" s="104"/>
      <c r="D1183" s="92"/>
      <c r="E1183" s="104"/>
      <c r="F1183" s="105"/>
      <c r="G1183" s="105"/>
      <c r="H1183" s="106"/>
      <c r="I1183" s="106"/>
      <c r="J1183" s="106"/>
      <c r="K1183" s="94"/>
    </row>
    <row r="1184" spans="1:11" x14ac:dyDescent="0.25">
      <c r="A1184" s="92"/>
      <c r="C1184" s="104"/>
      <c r="D1184" s="92"/>
      <c r="E1184" s="104"/>
      <c r="F1184" s="105"/>
      <c r="G1184" s="105"/>
      <c r="H1184" s="106"/>
      <c r="I1184" s="106"/>
      <c r="J1184" s="106"/>
      <c r="K1184" s="94"/>
    </row>
    <row r="1185" spans="1:11" x14ac:dyDescent="0.25">
      <c r="A1185" s="92"/>
      <c r="C1185" s="104"/>
      <c r="D1185" s="92"/>
      <c r="E1185" s="104"/>
      <c r="F1185" s="105"/>
      <c r="G1185" s="105"/>
      <c r="H1185" s="106"/>
      <c r="I1185" s="106"/>
      <c r="J1185" s="106"/>
      <c r="K1185" s="94"/>
    </row>
    <row r="1186" spans="1:11" x14ac:dyDescent="0.25">
      <c r="A1186" s="92"/>
      <c r="C1186" s="104"/>
      <c r="D1186" s="92"/>
      <c r="E1186" s="104"/>
      <c r="F1186" s="105"/>
      <c r="G1186" s="105"/>
      <c r="H1186" s="106"/>
      <c r="I1186" s="106"/>
      <c r="J1186" s="106"/>
      <c r="K1186" s="94"/>
    </row>
    <row r="1187" spans="1:11" x14ac:dyDescent="0.25">
      <c r="A1187" s="92"/>
      <c r="C1187" s="104"/>
      <c r="D1187" s="92"/>
      <c r="E1187" s="104"/>
      <c r="F1187" s="105"/>
      <c r="G1187" s="105"/>
      <c r="H1187" s="106"/>
      <c r="I1187" s="106"/>
      <c r="J1187" s="106"/>
      <c r="K1187" s="94"/>
    </row>
    <row r="1188" spans="1:11" x14ac:dyDescent="0.25">
      <c r="A1188" s="92"/>
      <c r="C1188" s="104"/>
      <c r="D1188" s="92"/>
      <c r="E1188" s="104"/>
      <c r="F1188" s="105"/>
      <c r="G1188" s="105"/>
      <c r="H1188" s="106"/>
      <c r="I1188" s="106"/>
      <c r="J1188" s="106"/>
      <c r="K1188" s="94"/>
    </row>
    <row r="1189" spans="1:11" x14ac:dyDescent="0.25">
      <c r="A1189" s="92"/>
      <c r="C1189" s="104"/>
      <c r="D1189" s="92"/>
      <c r="E1189" s="104"/>
      <c r="F1189" s="105"/>
      <c r="G1189" s="105"/>
      <c r="H1189" s="106"/>
      <c r="I1189" s="106"/>
      <c r="J1189" s="106"/>
      <c r="K1189" s="94"/>
    </row>
    <row r="1190" spans="1:11" x14ac:dyDescent="0.25">
      <c r="A1190" s="92"/>
      <c r="C1190" s="104"/>
      <c r="D1190" s="92"/>
      <c r="E1190" s="104"/>
      <c r="F1190" s="105"/>
      <c r="G1190" s="105"/>
      <c r="H1190" s="106"/>
      <c r="I1190" s="106"/>
      <c r="J1190" s="106"/>
      <c r="K1190" s="94"/>
    </row>
    <row r="1191" spans="1:11" x14ac:dyDescent="0.25">
      <c r="A1191" s="92"/>
      <c r="C1191" s="104"/>
      <c r="D1191" s="92"/>
      <c r="E1191" s="104"/>
      <c r="F1191" s="105"/>
      <c r="G1191" s="105"/>
      <c r="H1191" s="106"/>
      <c r="I1191" s="106"/>
      <c r="J1191" s="106"/>
      <c r="K1191" s="94"/>
    </row>
    <row r="1192" spans="1:11" x14ac:dyDescent="0.25">
      <c r="A1192" s="92"/>
      <c r="C1192" s="104"/>
      <c r="D1192" s="92"/>
      <c r="E1192" s="104"/>
      <c r="F1192" s="105"/>
      <c r="G1192" s="105"/>
      <c r="H1192" s="106"/>
      <c r="I1192" s="106"/>
      <c r="J1192" s="106"/>
      <c r="K1192" s="94"/>
    </row>
    <row r="1193" spans="1:11" x14ac:dyDescent="0.25">
      <c r="A1193" s="92"/>
      <c r="C1193" s="104"/>
      <c r="D1193" s="92"/>
      <c r="E1193" s="104"/>
      <c r="F1193" s="105"/>
      <c r="G1193" s="105"/>
      <c r="H1193" s="106"/>
      <c r="I1193" s="106"/>
      <c r="J1193" s="106"/>
      <c r="K1193" s="94"/>
    </row>
    <row r="1194" spans="1:11" x14ac:dyDescent="0.25">
      <c r="A1194" s="92"/>
      <c r="C1194" s="104"/>
      <c r="D1194" s="92"/>
      <c r="E1194" s="104"/>
      <c r="F1194" s="105"/>
      <c r="G1194" s="105"/>
      <c r="H1194" s="106"/>
      <c r="I1194" s="106"/>
      <c r="J1194" s="106"/>
      <c r="K1194" s="94"/>
    </row>
    <row r="1195" spans="1:11" x14ac:dyDescent="0.25">
      <c r="A1195" s="92"/>
      <c r="C1195" s="104"/>
      <c r="D1195" s="92"/>
      <c r="E1195" s="104"/>
      <c r="F1195" s="105"/>
      <c r="G1195" s="105"/>
      <c r="H1195" s="106"/>
      <c r="I1195" s="106"/>
      <c r="J1195" s="106"/>
      <c r="K1195" s="94"/>
    </row>
    <row r="1196" spans="1:11" x14ac:dyDescent="0.25">
      <c r="A1196" s="92"/>
      <c r="C1196" s="104"/>
      <c r="D1196" s="92"/>
      <c r="E1196" s="104"/>
      <c r="F1196" s="105"/>
      <c r="G1196" s="105"/>
      <c r="H1196" s="106"/>
      <c r="I1196" s="106"/>
      <c r="J1196" s="106"/>
      <c r="K1196" s="94"/>
    </row>
    <row r="1197" spans="1:11" x14ac:dyDescent="0.25">
      <c r="A1197" s="92"/>
      <c r="C1197" s="104"/>
      <c r="D1197" s="92"/>
      <c r="E1197" s="104"/>
      <c r="F1197" s="105"/>
      <c r="G1197" s="105"/>
      <c r="H1197" s="106"/>
      <c r="I1197" s="106"/>
      <c r="J1197" s="106"/>
      <c r="K1197" s="94"/>
    </row>
    <row r="1198" spans="1:11" x14ac:dyDescent="0.25">
      <c r="A1198" s="92"/>
      <c r="C1198" s="104"/>
      <c r="D1198" s="92"/>
      <c r="E1198" s="104"/>
      <c r="F1198" s="105"/>
      <c r="G1198" s="105"/>
      <c r="H1198" s="106"/>
      <c r="I1198" s="106"/>
      <c r="J1198" s="106"/>
      <c r="K1198" s="94"/>
    </row>
    <row r="1199" spans="1:11" x14ac:dyDescent="0.25">
      <c r="A1199" s="92"/>
      <c r="C1199" s="104"/>
      <c r="D1199" s="92"/>
      <c r="E1199" s="104"/>
      <c r="F1199" s="105"/>
      <c r="G1199" s="105"/>
      <c r="H1199" s="106"/>
      <c r="I1199" s="106"/>
      <c r="J1199" s="106"/>
      <c r="K1199" s="94"/>
    </row>
    <row r="1200" spans="1:11" x14ac:dyDescent="0.25">
      <c r="A1200" s="92"/>
      <c r="C1200" s="104"/>
      <c r="D1200" s="92"/>
      <c r="E1200" s="104"/>
      <c r="F1200" s="105"/>
      <c r="G1200" s="105"/>
      <c r="H1200" s="106"/>
      <c r="I1200" s="106"/>
      <c r="J1200" s="106"/>
      <c r="K1200" s="94"/>
    </row>
    <row r="1201" spans="1:11" x14ac:dyDescent="0.25">
      <c r="A1201" s="92"/>
      <c r="C1201" s="104"/>
      <c r="D1201" s="92"/>
      <c r="E1201" s="104"/>
      <c r="F1201" s="105"/>
      <c r="G1201" s="105"/>
      <c r="H1201" s="106"/>
      <c r="I1201" s="106"/>
      <c r="J1201" s="106"/>
      <c r="K1201" s="94"/>
    </row>
    <row r="1202" spans="1:11" x14ac:dyDescent="0.25">
      <c r="A1202" s="92"/>
      <c r="C1202" s="104"/>
      <c r="D1202" s="92"/>
      <c r="E1202" s="104"/>
      <c r="F1202" s="105"/>
      <c r="G1202" s="105"/>
      <c r="H1202" s="106"/>
      <c r="I1202" s="106"/>
      <c r="J1202" s="106"/>
      <c r="K1202" s="94"/>
    </row>
    <row r="1203" spans="1:11" x14ac:dyDescent="0.25">
      <c r="A1203" s="92"/>
      <c r="C1203" s="96"/>
      <c r="D1203" s="92"/>
      <c r="E1203" s="104"/>
      <c r="F1203" s="105"/>
      <c r="G1203" s="105"/>
      <c r="H1203" s="106"/>
      <c r="I1203" s="106"/>
      <c r="J1203" s="106"/>
      <c r="K1203" s="94"/>
    </row>
    <row r="1204" spans="1:11" x14ac:dyDescent="0.25">
      <c r="A1204" s="92"/>
      <c r="C1204" s="96"/>
      <c r="D1204" s="92"/>
      <c r="E1204" s="104"/>
      <c r="F1204" s="105"/>
      <c r="G1204" s="105"/>
      <c r="H1204" s="106"/>
      <c r="I1204" s="106"/>
      <c r="J1204" s="106"/>
      <c r="K1204" s="94"/>
    </row>
    <row r="1205" spans="1:11" x14ac:dyDescent="0.25">
      <c r="A1205" s="92"/>
      <c r="C1205" s="96"/>
      <c r="D1205" s="92"/>
      <c r="E1205" s="104"/>
      <c r="F1205" s="105"/>
      <c r="G1205" s="105"/>
      <c r="H1205" s="106"/>
      <c r="I1205" s="106"/>
      <c r="J1205" s="106"/>
      <c r="K1205" s="94"/>
    </row>
    <row r="1206" spans="1:11" x14ac:dyDescent="0.25">
      <c r="A1206" s="92"/>
      <c r="C1206" s="96"/>
      <c r="D1206" s="92"/>
      <c r="E1206" s="104"/>
      <c r="F1206" s="105"/>
      <c r="G1206" s="105"/>
      <c r="H1206" s="106"/>
      <c r="I1206" s="106"/>
      <c r="J1206" s="106"/>
      <c r="K1206" s="94"/>
    </row>
    <row r="1207" spans="1:11" x14ac:dyDescent="0.25">
      <c r="A1207" s="92"/>
      <c r="C1207" s="96"/>
      <c r="D1207" s="92"/>
      <c r="E1207" s="104"/>
      <c r="F1207" s="105"/>
      <c r="G1207" s="105"/>
      <c r="H1207" s="106"/>
      <c r="I1207" s="106"/>
      <c r="J1207" s="106"/>
      <c r="K1207" s="94"/>
    </row>
    <row r="1208" spans="1:11" x14ac:dyDescent="0.25">
      <c r="A1208" s="92"/>
      <c r="C1208" s="96"/>
      <c r="D1208" s="92"/>
      <c r="E1208" s="104"/>
      <c r="F1208" s="105"/>
      <c r="G1208" s="105"/>
      <c r="H1208" s="106"/>
      <c r="I1208" s="106"/>
      <c r="J1208" s="106"/>
      <c r="K1208" s="94"/>
    </row>
    <row r="1209" spans="1:11" x14ac:dyDescent="0.25">
      <c r="A1209" s="92"/>
      <c r="C1209" s="96"/>
      <c r="D1209" s="92"/>
      <c r="E1209" s="104"/>
      <c r="F1209" s="105"/>
      <c r="G1209" s="105"/>
      <c r="H1209" s="106"/>
      <c r="I1209" s="106"/>
      <c r="J1209" s="106"/>
      <c r="K1209" s="94"/>
    </row>
    <row r="1210" spans="1:11" x14ac:dyDescent="0.25">
      <c r="A1210" s="92"/>
      <c r="C1210" s="96"/>
      <c r="D1210" s="92"/>
      <c r="E1210" s="104"/>
      <c r="F1210" s="105"/>
      <c r="G1210" s="105"/>
      <c r="H1210" s="106"/>
      <c r="I1210" s="106"/>
      <c r="J1210" s="106"/>
      <c r="K1210" s="94"/>
    </row>
    <row r="1211" spans="1:11" x14ac:dyDescent="0.25">
      <c r="A1211" s="92"/>
      <c r="C1211" s="96"/>
      <c r="D1211" s="92"/>
      <c r="E1211" s="104"/>
      <c r="F1211" s="105"/>
      <c r="G1211" s="105"/>
      <c r="H1211" s="106"/>
      <c r="I1211" s="106"/>
      <c r="J1211" s="106"/>
      <c r="K1211" s="94"/>
    </row>
    <row r="1212" spans="1:11" x14ac:dyDescent="0.25">
      <c r="A1212" s="92"/>
      <c r="C1212" s="96"/>
      <c r="D1212" s="92"/>
      <c r="E1212" s="104"/>
      <c r="F1212" s="105"/>
      <c r="G1212" s="105"/>
      <c r="H1212" s="106"/>
      <c r="I1212" s="106"/>
      <c r="J1212" s="106"/>
      <c r="K1212" s="94"/>
    </row>
    <row r="1213" spans="1:11" x14ac:dyDescent="0.25">
      <c r="A1213" s="92"/>
      <c r="C1213" s="96"/>
      <c r="D1213" s="92"/>
      <c r="E1213" s="104"/>
      <c r="F1213" s="105"/>
      <c r="G1213" s="105"/>
      <c r="H1213" s="106"/>
      <c r="I1213" s="106"/>
      <c r="J1213" s="106"/>
      <c r="K1213" s="94"/>
    </row>
    <row r="1214" spans="1:11" x14ac:dyDescent="0.25">
      <c r="A1214" s="92"/>
      <c r="C1214" s="96"/>
      <c r="D1214" s="92"/>
      <c r="E1214" s="104"/>
      <c r="F1214" s="105"/>
      <c r="G1214" s="105"/>
      <c r="H1214" s="106"/>
      <c r="I1214" s="106"/>
      <c r="J1214" s="106"/>
      <c r="K1214" s="94"/>
    </row>
    <row r="1215" spans="1:11" x14ac:dyDescent="0.25">
      <c r="A1215" s="92"/>
      <c r="C1215" s="96"/>
      <c r="D1215" s="92"/>
      <c r="E1215" s="104"/>
      <c r="F1215" s="105"/>
      <c r="G1215" s="105"/>
      <c r="H1215" s="106"/>
      <c r="I1215" s="106"/>
      <c r="J1215" s="106"/>
      <c r="K1215" s="94"/>
    </row>
    <row r="1216" spans="1:11" x14ac:dyDescent="0.25">
      <c r="A1216" s="92"/>
      <c r="C1216" s="96"/>
      <c r="D1216" s="92"/>
      <c r="E1216" s="104"/>
      <c r="F1216" s="105"/>
      <c r="G1216" s="105"/>
      <c r="H1216" s="106"/>
      <c r="I1216" s="106"/>
      <c r="J1216" s="106"/>
      <c r="K1216" s="94"/>
    </row>
    <row r="1217" spans="1:11" x14ac:dyDescent="0.25">
      <c r="A1217" s="92"/>
      <c r="B1217" s="104"/>
      <c r="C1217" s="104"/>
      <c r="D1217" s="104"/>
      <c r="E1217" s="104"/>
      <c r="F1217" s="105"/>
      <c r="G1217" s="105"/>
      <c r="H1217" s="106"/>
      <c r="I1217" s="106"/>
      <c r="J1217" s="106"/>
      <c r="K1217" s="94"/>
    </row>
    <row r="1218" spans="1:11" x14ac:dyDescent="0.25">
      <c r="A1218" s="92"/>
      <c r="B1218" s="104"/>
      <c r="C1218" s="104"/>
      <c r="D1218" s="104"/>
      <c r="E1218" s="104"/>
      <c r="F1218" s="105"/>
      <c r="G1218" s="105"/>
      <c r="H1218" s="106"/>
      <c r="I1218" s="106"/>
      <c r="J1218" s="106"/>
      <c r="K1218" s="94"/>
    </row>
    <row r="1219" spans="1:11" x14ac:dyDescent="0.25">
      <c r="A1219" s="92"/>
      <c r="B1219" s="104"/>
      <c r="C1219" s="104"/>
      <c r="D1219" s="104"/>
      <c r="E1219" s="104"/>
      <c r="F1219" s="105"/>
      <c r="G1219" s="105"/>
      <c r="H1219" s="106"/>
      <c r="I1219" s="106"/>
      <c r="J1219" s="106"/>
      <c r="K1219" s="94"/>
    </row>
    <row r="1220" spans="1:11" x14ac:dyDescent="0.25">
      <c r="A1220" s="92"/>
      <c r="B1220" s="104"/>
      <c r="C1220" s="104"/>
      <c r="D1220" s="104"/>
      <c r="E1220" s="104"/>
      <c r="F1220" s="105"/>
      <c r="G1220" s="105"/>
      <c r="H1220" s="106"/>
      <c r="I1220" s="106"/>
      <c r="J1220" s="106"/>
      <c r="K1220" s="94"/>
    </row>
    <row r="1221" spans="1:11" x14ac:dyDescent="0.25">
      <c r="A1221" s="92"/>
      <c r="B1221" s="104"/>
      <c r="C1221" s="104"/>
      <c r="D1221" s="104"/>
      <c r="E1221" s="104"/>
      <c r="F1221" s="105"/>
      <c r="G1221" s="105"/>
      <c r="H1221" s="106"/>
      <c r="I1221" s="106"/>
      <c r="J1221" s="106"/>
      <c r="K1221" s="94"/>
    </row>
    <row r="1222" spans="1:11" x14ac:dyDescent="0.25">
      <c r="A1222" s="92"/>
      <c r="B1222" s="104"/>
      <c r="C1222" s="104"/>
      <c r="D1222" s="104"/>
      <c r="E1222" s="104"/>
      <c r="F1222" s="105"/>
      <c r="G1222" s="105"/>
      <c r="H1222" s="106"/>
      <c r="I1222" s="106"/>
      <c r="J1222" s="106"/>
      <c r="K1222" s="94"/>
    </row>
    <row r="1223" spans="1:11" x14ac:dyDescent="0.25">
      <c r="A1223" s="92"/>
      <c r="B1223" s="104"/>
      <c r="C1223" s="104"/>
      <c r="D1223" s="104"/>
      <c r="E1223" s="104"/>
      <c r="F1223" s="105"/>
      <c r="G1223" s="105"/>
      <c r="H1223" s="106"/>
      <c r="I1223" s="106"/>
      <c r="J1223" s="106"/>
      <c r="K1223" s="94"/>
    </row>
    <row r="1224" spans="1:11" x14ac:dyDescent="0.25">
      <c r="A1224" s="92"/>
      <c r="B1224" s="104"/>
      <c r="C1224" s="104"/>
      <c r="D1224" s="104"/>
      <c r="E1224" s="104"/>
      <c r="F1224" s="105"/>
      <c r="G1224" s="105"/>
      <c r="H1224" s="106"/>
      <c r="I1224" s="106"/>
      <c r="J1224" s="106"/>
      <c r="K1224" s="94"/>
    </row>
    <row r="1225" spans="1:11" x14ac:dyDescent="0.25">
      <c r="A1225" s="92"/>
      <c r="B1225" s="104"/>
      <c r="C1225" s="104"/>
      <c r="D1225" s="104"/>
      <c r="E1225" s="104"/>
      <c r="F1225" s="105"/>
      <c r="G1225" s="105"/>
      <c r="H1225" s="106"/>
      <c r="I1225" s="106"/>
      <c r="J1225" s="106"/>
      <c r="K1225" s="94"/>
    </row>
    <row r="1226" spans="1:11" x14ac:dyDescent="0.25">
      <c r="A1226" s="92"/>
      <c r="B1226" s="104"/>
      <c r="C1226" s="104"/>
      <c r="D1226" s="104"/>
      <c r="E1226" s="104"/>
      <c r="F1226" s="105"/>
      <c r="G1226" s="105"/>
      <c r="H1226" s="106"/>
      <c r="I1226" s="106"/>
      <c r="J1226" s="106"/>
      <c r="K1226" s="94"/>
    </row>
    <row r="1227" spans="1:11" x14ac:dyDescent="0.25">
      <c r="A1227" s="92"/>
      <c r="B1227" s="104"/>
      <c r="C1227" s="104"/>
      <c r="D1227" s="104"/>
      <c r="E1227" s="104"/>
      <c r="F1227" s="105"/>
      <c r="G1227" s="105"/>
      <c r="H1227" s="106"/>
      <c r="I1227" s="106"/>
      <c r="J1227" s="106"/>
      <c r="K1227" s="94"/>
    </row>
    <row r="1228" spans="1:11" x14ac:dyDescent="0.25">
      <c r="A1228" s="92"/>
      <c r="B1228" s="104"/>
      <c r="C1228" s="104"/>
      <c r="D1228" s="104"/>
      <c r="E1228" s="104"/>
      <c r="F1228" s="105"/>
      <c r="G1228" s="105"/>
      <c r="H1228" s="106"/>
      <c r="I1228" s="106"/>
      <c r="J1228" s="106"/>
      <c r="K1228" s="94"/>
    </row>
    <row r="1229" spans="1:11" x14ac:dyDescent="0.25">
      <c r="A1229" s="92"/>
      <c r="B1229" s="104"/>
      <c r="C1229" s="104"/>
      <c r="D1229" s="104"/>
      <c r="E1229" s="104"/>
      <c r="F1229" s="105"/>
      <c r="G1229" s="105"/>
      <c r="H1229" s="106"/>
      <c r="I1229" s="106"/>
      <c r="J1229" s="106"/>
      <c r="K1229" s="94"/>
    </row>
    <row r="1230" spans="1:11" x14ac:dyDescent="0.25">
      <c r="A1230" s="92"/>
      <c r="B1230" s="104"/>
      <c r="C1230" s="104"/>
      <c r="D1230" s="104"/>
      <c r="E1230" s="104"/>
      <c r="F1230" s="105"/>
      <c r="G1230" s="105"/>
      <c r="H1230" s="106"/>
      <c r="I1230" s="106"/>
      <c r="J1230" s="106"/>
      <c r="K1230" s="94"/>
    </row>
    <row r="1231" spans="1:11" x14ac:dyDescent="0.25">
      <c r="A1231" s="92"/>
      <c r="B1231" s="104"/>
      <c r="C1231" s="104"/>
      <c r="D1231" s="104"/>
      <c r="E1231" s="104"/>
      <c r="F1231" s="105"/>
      <c r="G1231" s="105"/>
      <c r="H1231" s="106"/>
      <c r="I1231" s="106"/>
      <c r="J1231" s="106"/>
      <c r="K1231" s="94"/>
    </row>
    <row r="1232" spans="1:11" x14ac:dyDescent="0.25">
      <c r="A1232" s="92"/>
      <c r="B1232" s="104"/>
      <c r="C1232" s="104"/>
      <c r="D1232" s="104"/>
      <c r="E1232" s="104"/>
      <c r="F1232" s="105"/>
      <c r="G1232" s="105"/>
      <c r="H1232" s="106"/>
      <c r="I1232" s="106"/>
      <c r="J1232" s="106"/>
      <c r="K1232" s="94"/>
    </row>
    <row r="1233" spans="1:11" x14ac:dyDescent="0.25">
      <c r="A1233" s="92"/>
      <c r="B1233" s="104"/>
      <c r="C1233" s="104"/>
      <c r="D1233" s="104"/>
      <c r="E1233" s="104"/>
      <c r="F1233" s="105"/>
      <c r="G1233" s="105"/>
      <c r="H1233" s="106"/>
      <c r="I1233" s="106"/>
      <c r="J1233" s="106"/>
      <c r="K1233" s="94"/>
    </row>
    <row r="1234" spans="1:11" x14ac:dyDescent="0.25">
      <c r="A1234" s="92"/>
      <c r="B1234" s="104"/>
      <c r="C1234" s="104"/>
      <c r="D1234" s="104"/>
      <c r="E1234" s="104"/>
      <c r="F1234" s="105"/>
      <c r="G1234" s="105"/>
      <c r="H1234" s="106"/>
      <c r="I1234" s="106"/>
      <c r="J1234" s="106"/>
      <c r="K1234" s="94"/>
    </row>
    <row r="1235" spans="1:11" x14ac:dyDescent="0.25">
      <c r="A1235" s="92"/>
      <c r="B1235" s="104"/>
      <c r="C1235" s="104"/>
      <c r="D1235" s="104"/>
      <c r="E1235" s="104"/>
      <c r="F1235" s="105"/>
      <c r="G1235" s="105"/>
      <c r="H1235" s="106"/>
      <c r="I1235" s="106"/>
      <c r="J1235" s="106"/>
      <c r="K1235" s="94"/>
    </row>
    <row r="1236" spans="1:11" x14ac:dyDescent="0.25">
      <c r="A1236" s="92"/>
      <c r="B1236" s="104"/>
      <c r="C1236" s="104"/>
      <c r="D1236" s="104"/>
      <c r="E1236" s="104"/>
      <c r="F1236" s="105"/>
      <c r="G1236" s="105"/>
      <c r="H1236" s="106"/>
      <c r="I1236" s="106"/>
      <c r="J1236" s="106"/>
      <c r="K1236" s="94"/>
    </row>
    <row r="1237" spans="1:11" x14ac:dyDescent="0.25">
      <c r="A1237" s="92"/>
      <c r="B1237" s="104"/>
      <c r="C1237" s="104"/>
      <c r="D1237" s="104"/>
      <c r="E1237" s="104"/>
      <c r="F1237" s="105"/>
      <c r="G1237" s="105"/>
      <c r="H1237" s="106"/>
      <c r="I1237" s="106"/>
      <c r="J1237" s="106"/>
      <c r="K1237" s="94"/>
    </row>
    <row r="1238" spans="1:11" x14ac:dyDescent="0.25">
      <c r="A1238" s="92"/>
      <c r="B1238" s="104"/>
      <c r="C1238" s="104"/>
      <c r="D1238" s="104"/>
      <c r="E1238" s="104"/>
      <c r="F1238" s="105"/>
      <c r="G1238" s="105"/>
      <c r="H1238" s="106"/>
      <c r="I1238" s="106"/>
      <c r="J1238" s="106"/>
      <c r="K1238" s="94"/>
    </row>
    <row r="1239" spans="1:11" x14ac:dyDescent="0.25">
      <c r="A1239" s="92"/>
      <c r="B1239" s="104"/>
      <c r="C1239" s="104"/>
      <c r="D1239" s="104"/>
      <c r="E1239" s="104"/>
      <c r="F1239" s="105"/>
      <c r="G1239" s="105"/>
      <c r="H1239" s="106"/>
      <c r="I1239" s="106"/>
      <c r="J1239" s="106"/>
      <c r="K1239" s="94"/>
    </row>
    <row r="1240" spans="1:11" x14ac:dyDescent="0.25">
      <c r="A1240" s="92"/>
      <c r="B1240" s="104"/>
      <c r="C1240" s="104"/>
      <c r="D1240" s="104"/>
      <c r="E1240" s="104"/>
      <c r="F1240" s="105"/>
      <c r="G1240" s="105"/>
      <c r="H1240" s="106"/>
      <c r="I1240" s="106"/>
      <c r="J1240" s="106"/>
      <c r="K1240" s="94"/>
    </row>
    <row r="1241" spans="1:11" x14ac:dyDescent="0.25">
      <c r="A1241" s="92"/>
      <c r="B1241" s="104"/>
      <c r="C1241" s="104"/>
      <c r="D1241" s="104"/>
      <c r="E1241" s="104"/>
      <c r="F1241" s="105"/>
      <c r="G1241" s="105"/>
      <c r="H1241" s="106"/>
      <c r="I1241" s="106"/>
      <c r="J1241" s="106"/>
      <c r="K1241" s="94"/>
    </row>
    <row r="1242" spans="1:11" x14ac:dyDescent="0.25">
      <c r="A1242" s="92"/>
      <c r="B1242" s="104"/>
      <c r="C1242" s="104"/>
      <c r="D1242" s="104"/>
      <c r="E1242" s="104"/>
      <c r="F1242" s="105"/>
      <c r="G1242" s="105"/>
      <c r="H1242" s="106"/>
      <c r="I1242" s="106"/>
      <c r="J1242" s="106"/>
      <c r="K1242" s="94"/>
    </row>
    <row r="1243" spans="1:11" x14ac:dyDescent="0.25">
      <c r="A1243" s="92"/>
      <c r="B1243" s="104"/>
      <c r="C1243" s="104"/>
      <c r="D1243" s="104"/>
      <c r="E1243" s="104"/>
      <c r="F1243" s="105"/>
      <c r="G1243" s="105"/>
      <c r="H1243" s="106"/>
      <c r="I1243" s="106"/>
      <c r="J1243" s="106"/>
      <c r="K1243" s="94"/>
    </row>
    <row r="1244" spans="1:11" x14ac:dyDescent="0.25">
      <c r="A1244" s="92"/>
      <c r="B1244" s="104"/>
      <c r="C1244" s="104"/>
      <c r="D1244" s="104"/>
      <c r="E1244" s="104"/>
      <c r="F1244" s="105"/>
      <c r="G1244" s="105"/>
      <c r="H1244" s="106"/>
      <c r="I1244" s="106"/>
      <c r="J1244" s="106"/>
      <c r="K1244" s="94"/>
    </row>
    <row r="1245" spans="1:11" x14ac:dyDescent="0.25">
      <c r="A1245" s="92"/>
      <c r="B1245" s="104"/>
      <c r="C1245" s="104"/>
      <c r="D1245" s="104"/>
      <c r="E1245" s="104"/>
      <c r="F1245" s="105"/>
      <c r="G1245" s="105"/>
      <c r="H1245" s="106"/>
      <c r="I1245" s="106"/>
      <c r="J1245" s="106"/>
      <c r="K1245" s="94"/>
    </row>
    <row r="1246" spans="1:11" x14ac:dyDescent="0.25">
      <c r="A1246" s="92"/>
      <c r="B1246" s="104"/>
      <c r="C1246" s="104"/>
      <c r="D1246" s="104"/>
      <c r="E1246" s="104"/>
      <c r="F1246" s="105"/>
      <c r="G1246" s="105"/>
      <c r="H1246" s="106"/>
      <c r="I1246" s="106"/>
      <c r="J1246" s="106"/>
      <c r="K1246" s="94"/>
    </row>
    <row r="1247" spans="1:11" x14ac:dyDescent="0.25">
      <c r="A1247" s="92"/>
      <c r="B1247" s="104"/>
      <c r="C1247" s="104"/>
      <c r="D1247" s="104"/>
      <c r="E1247" s="104"/>
      <c r="F1247" s="105"/>
      <c r="G1247" s="105"/>
      <c r="H1247" s="106"/>
      <c r="I1247" s="106"/>
      <c r="J1247" s="106"/>
      <c r="K1247" s="94"/>
    </row>
    <row r="1248" spans="1:11" x14ac:dyDescent="0.25">
      <c r="A1248" s="92"/>
      <c r="B1248" s="104"/>
      <c r="C1248" s="104"/>
      <c r="D1248" s="104"/>
      <c r="E1248" s="104"/>
      <c r="F1248" s="105"/>
      <c r="G1248" s="105"/>
      <c r="H1248" s="106"/>
      <c r="I1248" s="106"/>
      <c r="J1248" s="106"/>
      <c r="K1248" s="94"/>
    </row>
    <row r="1249" spans="1:11" x14ac:dyDescent="0.25">
      <c r="A1249" s="92"/>
      <c r="B1249" s="104"/>
      <c r="C1249" s="104"/>
      <c r="D1249" s="104"/>
      <c r="E1249" s="104"/>
      <c r="F1249" s="105"/>
      <c r="G1249" s="105"/>
      <c r="H1249" s="106"/>
      <c r="I1249" s="106"/>
      <c r="J1249" s="106"/>
      <c r="K1249" s="94"/>
    </row>
    <row r="1250" spans="1:11" x14ac:dyDescent="0.25">
      <c r="A1250" s="92"/>
      <c r="B1250" s="104"/>
      <c r="C1250" s="104"/>
      <c r="D1250" s="104"/>
      <c r="E1250" s="104"/>
      <c r="F1250" s="105"/>
      <c r="G1250" s="105"/>
      <c r="H1250" s="106"/>
      <c r="I1250" s="106"/>
      <c r="J1250" s="106"/>
      <c r="K1250" s="94"/>
    </row>
    <row r="1251" spans="1:11" x14ac:dyDescent="0.25">
      <c r="A1251" s="92"/>
      <c r="B1251" s="104"/>
      <c r="C1251" s="104"/>
      <c r="D1251" s="104"/>
      <c r="E1251" s="104"/>
      <c r="F1251" s="105"/>
      <c r="G1251" s="105"/>
      <c r="H1251" s="106"/>
      <c r="I1251" s="106"/>
      <c r="J1251" s="106"/>
      <c r="K1251" s="94"/>
    </row>
    <row r="1252" spans="1:11" x14ac:dyDescent="0.25">
      <c r="A1252" s="92"/>
      <c r="B1252" s="104"/>
      <c r="C1252" s="104"/>
      <c r="D1252" s="104"/>
      <c r="E1252" s="104"/>
      <c r="F1252" s="105"/>
      <c r="G1252" s="105"/>
      <c r="H1252" s="106"/>
      <c r="I1252" s="106"/>
      <c r="J1252" s="106"/>
      <c r="K1252" s="94"/>
    </row>
    <row r="1253" spans="1:11" x14ac:dyDescent="0.25">
      <c r="A1253" s="92"/>
      <c r="B1253" s="104"/>
      <c r="C1253" s="104"/>
      <c r="D1253" s="104"/>
      <c r="E1253" s="104"/>
      <c r="F1253" s="105"/>
      <c r="G1253" s="105"/>
      <c r="H1253" s="106"/>
      <c r="I1253" s="106"/>
      <c r="J1253" s="106"/>
      <c r="K1253" s="94"/>
    </row>
    <row r="1254" spans="1:11" x14ac:dyDescent="0.25">
      <c r="A1254" s="92"/>
      <c r="B1254" s="104"/>
      <c r="C1254" s="104"/>
      <c r="D1254" s="104"/>
      <c r="E1254" s="104"/>
      <c r="F1254" s="105"/>
      <c r="G1254" s="105"/>
      <c r="H1254" s="106"/>
      <c r="I1254" s="106"/>
      <c r="J1254" s="106"/>
      <c r="K1254" s="94"/>
    </row>
    <row r="1255" spans="1:11" x14ac:dyDescent="0.25">
      <c r="A1255" s="92"/>
      <c r="B1255" s="104"/>
      <c r="C1255" s="104"/>
      <c r="D1255" s="104"/>
      <c r="E1255" s="104"/>
      <c r="F1255" s="105"/>
      <c r="G1255" s="105"/>
      <c r="H1255" s="106"/>
      <c r="I1255" s="106"/>
      <c r="J1255" s="106"/>
      <c r="K1255" s="94"/>
    </row>
    <row r="1256" spans="1:11" x14ac:dyDescent="0.25">
      <c r="A1256" s="92"/>
      <c r="B1256" s="104"/>
      <c r="C1256" s="104"/>
      <c r="D1256" s="104"/>
      <c r="E1256" s="104"/>
      <c r="F1256" s="105"/>
      <c r="G1256" s="105"/>
      <c r="H1256" s="106"/>
      <c r="I1256" s="106"/>
      <c r="J1256" s="106"/>
      <c r="K1256" s="94"/>
    </row>
    <row r="1257" spans="1:11" x14ac:dyDescent="0.25">
      <c r="A1257" s="92"/>
      <c r="B1257" s="104"/>
      <c r="C1257" s="104"/>
      <c r="D1257" s="104"/>
      <c r="E1257" s="104"/>
      <c r="F1257" s="105"/>
      <c r="G1257" s="105"/>
      <c r="H1257" s="106"/>
      <c r="I1257" s="106"/>
      <c r="J1257" s="106"/>
      <c r="K1257" s="94"/>
    </row>
    <row r="1258" spans="1:11" x14ac:dyDescent="0.25">
      <c r="A1258" s="92"/>
      <c r="B1258" s="104"/>
      <c r="C1258" s="104"/>
      <c r="D1258" s="104"/>
      <c r="E1258" s="104"/>
      <c r="F1258" s="105"/>
      <c r="G1258" s="105"/>
      <c r="H1258" s="106"/>
      <c r="I1258" s="106"/>
      <c r="J1258" s="106"/>
      <c r="K1258" s="94"/>
    </row>
    <row r="1259" spans="1:11" x14ac:dyDescent="0.25">
      <c r="A1259" s="92"/>
      <c r="B1259" s="104"/>
      <c r="C1259" s="104"/>
      <c r="D1259" s="104"/>
      <c r="E1259" s="104"/>
      <c r="F1259" s="105"/>
      <c r="G1259" s="105"/>
      <c r="H1259" s="106"/>
      <c r="I1259" s="106"/>
      <c r="J1259" s="106"/>
      <c r="K1259" s="94"/>
    </row>
    <row r="1260" spans="1:11" x14ac:dyDescent="0.25">
      <c r="A1260" s="92"/>
      <c r="B1260" s="104"/>
      <c r="C1260" s="104"/>
      <c r="D1260" s="104"/>
      <c r="E1260" s="104"/>
      <c r="F1260" s="105"/>
      <c r="G1260" s="105"/>
      <c r="H1260" s="106"/>
      <c r="I1260" s="106"/>
      <c r="J1260" s="106"/>
      <c r="K1260" s="94"/>
    </row>
    <row r="1261" spans="1:11" x14ac:dyDescent="0.25">
      <c r="A1261" s="92"/>
      <c r="B1261" s="104"/>
      <c r="C1261" s="104"/>
      <c r="D1261" s="104"/>
      <c r="E1261" s="104"/>
      <c r="F1261" s="105"/>
      <c r="G1261" s="105"/>
      <c r="H1261" s="106"/>
      <c r="I1261" s="106"/>
      <c r="J1261" s="106"/>
      <c r="K1261" s="94"/>
    </row>
    <row r="1262" spans="1:11" x14ac:dyDescent="0.25">
      <c r="A1262" s="92"/>
      <c r="B1262" s="104"/>
      <c r="C1262" s="104"/>
      <c r="D1262" s="104"/>
      <c r="E1262" s="104"/>
      <c r="F1262" s="105"/>
      <c r="G1262" s="105"/>
      <c r="H1262" s="106"/>
      <c r="I1262" s="106"/>
      <c r="J1262" s="106"/>
      <c r="K1262" s="94"/>
    </row>
    <row r="1263" spans="1:11" x14ac:dyDescent="0.25">
      <c r="A1263" s="92"/>
      <c r="B1263" s="104"/>
      <c r="C1263" s="104"/>
      <c r="D1263" s="104"/>
      <c r="E1263" s="104"/>
      <c r="F1263" s="105"/>
      <c r="G1263" s="105"/>
      <c r="H1263" s="106"/>
      <c r="I1263" s="106"/>
      <c r="J1263" s="106"/>
      <c r="K1263" s="94"/>
    </row>
    <row r="1264" spans="1:11" x14ac:dyDescent="0.25">
      <c r="A1264" s="92"/>
      <c r="B1264" s="104"/>
      <c r="C1264" s="104"/>
      <c r="D1264" s="104"/>
      <c r="E1264" s="104"/>
      <c r="F1264" s="105"/>
      <c r="G1264" s="105"/>
      <c r="H1264" s="106"/>
      <c r="I1264" s="106"/>
      <c r="J1264" s="106"/>
      <c r="K1264" s="94"/>
    </row>
    <row r="1265" spans="1:11" x14ac:dyDescent="0.25">
      <c r="A1265" s="92"/>
      <c r="B1265" s="104"/>
      <c r="C1265" s="104"/>
      <c r="D1265" s="104"/>
      <c r="E1265" s="104"/>
      <c r="F1265" s="105"/>
      <c r="G1265" s="105"/>
      <c r="H1265" s="106"/>
      <c r="I1265" s="106"/>
      <c r="J1265" s="106"/>
      <c r="K1265" s="94"/>
    </row>
    <row r="1266" spans="1:11" x14ac:dyDescent="0.25">
      <c r="A1266" s="92"/>
      <c r="B1266" s="104"/>
      <c r="C1266" s="104"/>
      <c r="D1266" s="104"/>
      <c r="E1266" s="104"/>
      <c r="F1266" s="105"/>
      <c r="G1266" s="105"/>
      <c r="H1266" s="106"/>
      <c r="I1266" s="106"/>
      <c r="J1266" s="106"/>
      <c r="K1266" s="94"/>
    </row>
    <row r="1267" spans="1:11" x14ac:dyDescent="0.25">
      <c r="A1267" s="92"/>
      <c r="B1267" s="104"/>
      <c r="C1267" s="104"/>
      <c r="D1267" s="104"/>
      <c r="E1267" s="104"/>
      <c r="F1267" s="105"/>
      <c r="G1267" s="105"/>
      <c r="H1267" s="106"/>
      <c r="I1267" s="106"/>
      <c r="J1267" s="106"/>
      <c r="K1267" s="94"/>
    </row>
    <row r="1268" spans="1:11" x14ac:dyDescent="0.25">
      <c r="A1268" s="92"/>
      <c r="B1268" s="104"/>
      <c r="C1268" s="104"/>
      <c r="D1268" s="104"/>
      <c r="E1268" s="104"/>
      <c r="F1268" s="105"/>
      <c r="G1268" s="105"/>
      <c r="H1268" s="106"/>
      <c r="I1268" s="106"/>
      <c r="J1268" s="106"/>
      <c r="K1268" s="94"/>
    </row>
    <row r="1269" spans="1:11" x14ac:dyDescent="0.25">
      <c r="A1269" s="92"/>
      <c r="B1269" s="104"/>
      <c r="C1269" s="104"/>
      <c r="D1269" s="104"/>
      <c r="E1269" s="104"/>
      <c r="F1269" s="105"/>
      <c r="G1269" s="105"/>
      <c r="H1269" s="106"/>
      <c r="I1269" s="106"/>
      <c r="J1269" s="106"/>
      <c r="K1269" s="94"/>
    </row>
    <row r="1270" spans="1:11" x14ac:dyDescent="0.25">
      <c r="A1270" s="92"/>
      <c r="B1270" s="104"/>
      <c r="C1270" s="104"/>
      <c r="D1270" s="104"/>
      <c r="E1270" s="104"/>
      <c r="F1270" s="105"/>
      <c r="G1270" s="105"/>
      <c r="H1270" s="106"/>
      <c r="I1270" s="106"/>
      <c r="J1270" s="106"/>
      <c r="K1270" s="94"/>
    </row>
    <row r="1271" spans="1:11" x14ac:dyDescent="0.25">
      <c r="A1271" s="92"/>
      <c r="B1271" s="104"/>
      <c r="C1271" s="104"/>
      <c r="D1271" s="104"/>
      <c r="E1271" s="104"/>
      <c r="F1271" s="105"/>
      <c r="G1271" s="105"/>
      <c r="H1271" s="106"/>
      <c r="I1271" s="106"/>
      <c r="J1271" s="106"/>
      <c r="K1271" s="94"/>
    </row>
    <row r="1272" spans="1:11" x14ac:dyDescent="0.25">
      <c r="A1272" s="92"/>
      <c r="B1272" s="104"/>
      <c r="C1272" s="104"/>
      <c r="D1272" s="104"/>
      <c r="E1272" s="104"/>
      <c r="F1272" s="105"/>
      <c r="G1272" s="105"/>
      <c r="H1272" s="106"/>
      <c r="I1272" s="106"/>
      <c r="J1272" s="106"/>
      <c r="K1272" s="94"/>
    </row>
    <row r="1273" spans="1:11" x14ac:dyDescent="0.25">
      <c r="A1273" s="92"/>
      <c r="B1273" s="104"/>
      <c r="C1273" s="104"/>
      <c r="D1273" s="104"/>
      <c r="E1273" s="104"/>
      <c r="F1273" s="105"/>
      <c r="G1273" s="105"/>
      <c r="H1273" s="106"/>
      <c r="I1273" s="106"/>
      <c r="J1273" s="106"/>
      <c r="K1273" s="94"/>
    </row>
    <row r="1274" spans="1:11" x14ac:dyDescent="0.25">
      <c r="A1274" s="92"/>
      <c r="B1274" s="104"/>
      <c r="C1274" s="104"/>
      <c r="D1274" s="104"/>
      <c r="E1274" s="104"/>
      <c r="F1274" s="105"/>
      <c r="G1274" s="105"/>
      <c r="H1274" s="106"/>
      <c r="I1274" s="106"/>
      <c r="J1274" s="106"/>
      <c r="K1274" s="94"/>
    </row>
    <row r="1275" spans="1:11" x14ac:dyDescent="0.25">
      <c r="A1275" s="92"/>
      <c r="B1275" s="104"/>
      <c r="C1275" s="104"/>
      <c r="D1275" s="104"/>
      <c r="E1275" s="104"/>
      <c r="F1275" s="105"/>
      <c r="G1275" s="105"/>
      <c r="H1275" s="106"/>
      <c r="I1275" s="106"/>
      <c r="J1275" s="106"/>
      <c r="K1275" s="94"/>
    </row>
    <row r="1276" spans="1:11" x14ac:dyDescent="0.25">
      <c r="A1276" s="92"/>
      <c r="B1276" s="104"/>
      <c r="C1276" s="104"/>
      <c r="D1276" s="104"/>
      <c r="E1276" s="104"/>
      <c r="F1276" s="105"/>
      <c r="G1276" s="105"/>
      <c r="H1276" s="106"/>
      <c r="I1276" s="106"/>
      <c r="J1276" s="106"/>
      <c r="K1276" s="94"/>
    </row>
    <row r="1277" spans="1:11" x14ac:dyDescent="0.25">
      <c r="A1277" s="92"/>
      <c r="B1277" s="104"/>
      <c r="C1277" s="104"/>
      <c r="D1277" s="104"/>
      <c r="E1277" s="104"/>
      <c r="F1277" s="105"/>
      <c r="G1277" s="105"/>
      <c r="H1277" s="106"/>
      <c r="I1277" s="106"/>
      <c r="J1277" s="106"/>
      <c r="K1277" s="94"/>
    </row>
    <row r="1278" spans="1:11" x14ac:dyDescent="0.25">
      <c r="A1278" s="92"/>
      <c r="B1278" s="104"/>
      <c r="C1278" s="104"/>
      <c r="D1278" s="104"/>
      <c r="E1278" s="104"/>
      <c r="F1278" s="105"/>
      <c r="G1278" s="105"/>
      <c r="H1278" s="106"/>
      <c r="I1278" s="106"/>
      <c r="J1278" s="106"/>
      <c r="K1278" s="94"/>
    </row>
    <row r="1279" spans="1:11" x14ac:dyDescent="0.25">
      <c r="A1279" s="92"/>
      <c r="B1279" s="104"/>
      <c r="C1279" s="104"/>
      <c r="D1279" s="104"/>
      <c r="E1279" s="104"/>
      <c r="F1279" s="105"/>
      <c r="G1279" s="105"/>
      <c r="H1279" s="106"/>
      <c r="I1279" s="106"/>
      <c r="J1279" s="106"/>
      <c r="K1279" s="94"/>
    </row>
    <row r="1280" spans="1:11" x14ac:dyDescent="0.25">
      <c r="A1280" s="92"/>
      <c r="B1280" s="104"/>
      <c r="C1280" s="104"/>
      <c r="D1280" s="104"/>
      <c r="E1280" s="104"/>
      <c r="F1280" s="105"/>
      <c r="G1280" s="105"/>
      <c r="H1280" s="106"/>
      <c r="I1280" s="106"/>
      <c r="J1280" s="106"/>
      <c r="K1280" s="94"/>
    </row>
    <row r="1281" spans="1:11" x14ac:dyDescent="0.25">
      <c r="A1281" s="92"/>
      <c r="B1281" s="104"/>
      <c r="C1281" s="104"/>
      <c r="D1281" s="104"/>
      <c r="E1281" s="104"/>
      <c r="F1281" s="105"/>
      <c r="G1281" s="105"/>
      <c r="H1281" s="106"/>
      <c r="I1281" s="106"/>
      <c r="J1281" s="106"/>
      <c r="K1281" s="94"/>
    </row>
    <row r="1282" spans="1:11" x14ac:dyDescent="0.25">
      <c r="A1282" s="92"/>
      <c r="B1282" s="104"/>
      <c r="C1282" s="104"/>
      <c r="D1282" s="104"/>
      <c r="E1282" s="104"/>
      <c r="F1282" s="105"/>
      <c r="G1282" s="105"/>
      <c r="H1282" s="106"/>
      <c r="I1282" s="106"/>
      <c r="J1282" s="106"/>
      <c r="K1282" s="94"/>
    </row>
    <row r="1283" spans="1:11" x14ac:dyDescent="0.25">
      <c r="A1283" s="92"/>
      <c r="B1283" s="104"/>
      <c r="C1283" s="104"/>
      <c r="D1283" s="104"/>
      <c r="E1283" s="104"/>
      <c r="F1283" s="105"/>
      <c r="G1283" s="105"/>
      <c r="H1283" s="106"/>
      <c r="I1283" s="106"/>
      <c r="J1283" s="106"/>
      <c r="K1283" s="94"/>
    </row>
    <row r="1284" spans="1:11" x14ac:dyDescent="0.25">
      <c r="A1284" s="92"/>
      <c r="B1284" s="104"/>
      <c r="C1284" s="104"/>
      <c r="D1284" s="104"/>
      <c r="E1284" s="104"/>
      <c r="F1284" s="105"/>
      <c r="G1284" s="105"/>
      <c r="H1284" s="106"/>
      <c r="I1284" s="106"/>
      <c r="J1284" s="106"/>
      <c r="K1284" s="94"/>
    </row>
    <row r="1285" spans="1:11" x14ac:dyDescent="0.25">
      <c r="A1285" s="92"/>
      <c r="B1285" s="104"/>
      <c r="C1285" s="104"/>
      <c r="D1285" s="104"/>
      <c r="E1285" s="104"/>
      <c r="F1285" s="105"/>
      <c r="G1285" s="105"/>
      <c r="H1285" s="106"/>
      <c r="I1285" s="106"/>
      <c r="J1285" s="106"/>
      <c r="K1285" s="94"/>
    </row>
    <row r="1286" spans="1:11" x14ac:dyDescent="0.25">
      <c r="A1286" s="92"/>
      <c r="B1286" s="104"/>
      <c r="C1286" s="104"/>
      <c r="D1286" s="104"/>
      <c r="E1286" s="104"/>
      <c r="F1286" s="105"/>
      <c r="G1286" s="105"/>
      <c r="H1286" s="106"/>
      <c r="I1286" s="106"/>
      <c r="J1286" s="106"/>
      <c r="K1286" s="94"/>
    </row>
    <row r="1287" spans="1:11" x14ac:dyDescent="0.25">
      <c r="A1287" s="92"/>
      <c r="B1287" s="104"/>
      <c r="C1287" s="104"/>
      <c r="D1287" s="104"/>
      <c r="E1287" s="104"/>
      <c r="F1287" s="105"/>
      <c r="G1287" s="105"/>
      <c r="H1287" s="106"/>
      <c r="I1287" s="106"/>
      <c r="J1287" s="106"/>
      <c r="K1287" s="94"/>
    </row>
    <row r="1288" spans="1:11" x14ac:dyDescent="0.25">
      <c r="A1288" s="92"/>
      <c r="B1288" s="104"/>
      <c r="C1288" s="104"/>
      <c r="D1288" s="104"/>
      <c r="E1288" s="104"/>
      <c r="F1288" s="105"/>
      <c r="G1288" s="105"/>
      <c r="H1288" s="106"/>
      <c r="I1288" s="106"/>
      <c r="J1288" s="106"/>
      <c r="K1288" s="94"/>
    </row>
    <row r="1289" spans="1:11" x14ac:dyDescent="0.25">
      <c r="A1289" s="92"/>
      <c r="B1289" s="104"/>
      <c r="C1289" s="104"/>
      <c r="D1289" s="104"/>
      <c r="E1289" s="104"/>
      <c r="F1289" s="105"/>
      <c r="G1289" s="105"/>
      <c r="H1289" s="106"/>
      <c r="I1289" s="106"/>
      <c r="J1289" s="106"/>
      <c r="K1289" s="94"/>
    </row>
    <row r="1290" spans="1:11" x14ac:dyDescent="0.25">
      <c r="A1290" s="92"/>
      <c r="B1290" s="104"/>
      <c r="C1290" s="104"/>
      <c r="D1290" s="104"/>
      <c r="E1290" s="104"/>
      <c r="F1290" s="105"/>
      <c r="G1290" s="105"/>
      <c r="H1290" s="106"/>
      <c r="I1290" s="106"/>
      <c r="J1290" s="106"/>
      <c r="K1290" s="94"/>
    </row>
    <row r="1291" spans="1:11" x14ac:dyDescent="0.25">
      <c r="A1291" s="92"/>
      <c r="B1291" s="104"/>
      <c r="C1291" s="104"/>
      <c r="D1291" s="104"/>
      <c r="E1291" s="104"/>
      <c r="F1291" s="105"/>
      <c r="G1291" s="105"/>
      <c r="H1291" s="106"/>
      <c r="I1291" s="106"/>
      <c r="J1291" s="106"/>
      <c r="K1291" s="94"/>
    </row>
    <row r="1292" spans="1:11" x14ac:dyDescent="0.25">
      <c r="A1292" s="92"/>
      <c r="B1292" s="104"/>
      <c r="C1292" s="104"/>
      <c r="D1292" s="104"/>
      <c r="E1292" s="104"/>
      <c r="F1292" s="105"/>
      <c r="G1292" s="105"/>
      <c r="H1292" s="106"/>
      <c r="I1292" s="106"/>
      <c r="J1292" s="106"/>
      <c r="K1292" s="94"/>
    </row>
    <row r="1293" spans="1:11" x14ac:dyDescent="0.25">
      <c r="A1293" s="92"/>
      <c r="B1293" s="104"/>
      <c r="C1293" s="104"/>
      <c r="D1293" s="104"/>
      <c r="E1293" s="104"/>
      <c r="F1293" s="105"/>
      <c r="G1293" s="105"/>
      <c r="H1293" s="106"/>
      <c r="I1293" s="106"/>
      <c r="J1293" s="106"/>
      <c r="K1293" s="94"/>
    </row>
    <row r="1294" spans="1:11" x14ac:dyDescent="0.25">
      <c r="A1294" s="92"/>
      <c r="B1294" s="104"/>
      <c r="C1294" s="104"/>
      <c r="D1294" s="104"/>
      <c r="E1294" s="104"/>
      <c r="F1294" s="105"/>
      <c r="G1294" s="105"/>
      <c r="H1294" s="106"/>
      <c r="I1294" s="106"/>
      <c r="J1294" s="106"/>
      <c r="K1294" s="94"/>
    </row>
    <row r="1295" spans="1:11" x14ac:dyDescent="0.25">
      <c r="A1295" s="92"/>
      <c r="B1295" s="104"/>
      <c r="C1295" s="104"/>
      <c r="D1295" s="104"/>
      <c r="E1295" s="104"/>
      <c r="F1295" s="105"/>
      <c r="G1295" s="105"/>
      <c r="H1295" s="106"/>
      <c r="I1295" s="106"/>
      <c r="J1295" s="106"/>
      <c r="K1295" s="94"/>
    </row>
    <row r="1296" spans="1:11" x14ac:dyDescent="0.25">
      <c r="A1296" s="92"/>
      <c r="B1296" s="104"/>
      <c r="C1296" s="104"/>
      <c r="D1296" s="104"/>
      <c r="E1296" s="104"/>
      <c r="F1296" s="105"/>
      <c r="G1296" s="105"/>
      <c r="H1296" s="106"/>
      <c r="I1296" s="106"/>
      <c r="J1296" s="106"/>
      <c r="K1296" s="94"/>
    </row>
    <row r="1297" spans="1:11" x14ac:dyDescent="0.25">
      <c r="A1297" s="92"/>
      <c r="B1297" s="104"/>
      <c r="C1297" s="96"/>
      <c r="D1297" s="104"/>
      <c r="E1297" s="104"/>
      <c r="F1297" s="105"/>
      <c r="G1297" s="105"/>
      <c r="H1297" s="106"/>
      <c r="I1297" s="106"/>
      <c r="J1297" s="106"/>
      <c r="K1297" s="94"/>
    </row>
    <row r="1298" spans="1:11" x14ac:dyDescent="0.25">
      <c r="A1298" s="92"/>
      <c r="B1298" s="104"/>
      <c r="C1298" s="96"/>
      <c r="D1298" s="104"/>
      <c r="E1298" s="104"/>
      <c r="F1298" s="105"/>
      <c r="G1298" s="105"/>
      <c r="H1298" s="106"/>
      <c r="I1298" s="106"/>
      <c r="J1298" s="106"/>
      <c r="K1298" s="94"/>
    </row>
    <row r="1299" spans="1:11" x14ac:dyDescent="0.25">
      <c r="A1299" s="92"/>
      <c r="B1299" s="104"/>
      <c r="C1299" s="96"/>
      <c r="D1299" s="104"/>
      <c r="E1299" s="104"/>
      <c r="F1299" s="105"/>
      <c r="G1299" s="105"/>
      <c r="H1299" s="106"/>
      <c r="I1299" s="106"/>
      <c r="J1299" s="106"/>
      <c r="K1299" s="94"/>
    </row>
    <row r="1300" spans="1:11" x14ac:dyDescent="0.25">
      <c r="A1300" s="92"/>
      <c r="B1300" s="104"/>
      <c r="C1300" s="96"/>
      <c r="D1300" s="104"/>
      <c r="E1300" s="104"/>
      <c r="F1300" s="105"/>
      <c r="G1300" s="105"/>
      <c r="H1300" s="106"/>
      <c r="I1300" s="106"/>
      <c r="J1300" s="106"/>
      <c r="K1300" s="94"/>
    </row>
    <row r="1301" spans="1:11" x14ac:dyDescent="0.25">
      <c r="A1301" s="92"/>
      <c r="B1301" s="104"/>
      <c r="C1301" s="96"/>
      <c r="D1301" s="104"/>
      <c r="E1301" s="104"/>
      <c r="F1301" s="105"/>
      <c r="G1301" s="105"/>
      <c r="H1301" s="106"/>
      <c r="I1301" s="106"/>
      <c r="J1301" s="106"/>
      <c r="K1301" s="94"/>
    </row>
    <row r="1302" spans="1:11" x14ac:dyDescent="0.25">
      <c r="A1302" s="92"/>
      <c r="B1302" s="104"/>
      <c r="C1302" s="96"/>
      <c r="D1302" s="104"/>
      <c r="E1302" s="104"/>
      <c r="F1302" s="105"/>
      <c r="G1302" s="105"/>
      <c r="H1302" s="106"/>
      <c r="I1302" s="106"/>
      <c r="J1302" s="106"/>
      <c r="K1302" s="94"/>
    </row>
    <row r="1303" spans="1:11" x14ac:dyDescent="0.25">
      <c r="A1303" s="92"/>
      <c r="B1303" s="104"/>
      <c r="C1303" s="96"/>
      <c r="D1303" s="104"/>
      <c r="E1303" s="104"/>
      <c r="F1303" s="105"/>
      <c r="G1303" s="105"/>
      <c r="H1303" s="106"/>
      <c r="I1303" s="106"/>
      <c r="J1303" s="106"/>
      <c r="K1303" s="94"/>
    </row>
    <row r="1304" spans="1:11" x14ac:dyDescent="0.25">
      <c r="A1304" s="92"/>
      <c r="B1304" s="104"/>
      <c r="C1304" s="96"/>
      <c r="D1304" s="104"/>
      <c r="E1304" s="104"/>
      <c r="F1304" s="105"/>
      <c r="G1304" s="105"/>
      <c r="H1304" s="106"/>
      <c r="I1304" s="106"/>
      <c r="J1304" s="106"/>
      <c r="K1304" s="94"/>
    </row>
    <row r="1305" spans="1:11" x14ac:dyDescent="0.25">
      <c r="A1305" s="92"/>
      <c r="B1305" s="104"/>
      <c r="C1305" s="96"/>
      <c r="D1305" s="104"/>
      <c r="E1305" s="104"/>
      <c r="F1305" s="105"/>
      <c r="G1305" s="105"/>
      <c r="H1305" s="106"/>
      <c r="I1305" s="106"/>
      <c r="J1305" s="106"/>
      <c r="K1305" s="94"/>
    </row>
    <row r="1306" spans="1:11" x14ac:dyDescent="0.25">
      <c r="A1306" s="92"/>
      <c r="B1306" s="104"/>
      <c r="C1306" s="96"/>
      <c r="D1306" s="104"/>
      <c r="E1306" s="104"/>
      <c r="F1306" s="105"/>
      <c r="G1306" s="105"/>
      <c r="H1306" s="106"/>
      <c r="I1306" s="106"/>
      <c r="J1306" s="106"/>
      <c r="K1306" s="94"/>
    </row>
    <row r="1307" spans="1:11" x14ac:dyDescent="0.25">
      <c r="A1307" s="92"/>
      <c r="B1307" s="104"/>
      <c r="C1307" s="96"/>
      <c r="D1307" s="104"/>
      <c r="E1307" s="104"/>
      <c r="F1307" s="105"/>
      <c r="G1307" s="105"/>
      <c r="H1307" s="106"/>
      <c r="I1307" s="106"/>
      <c r="J1307" s="106"/>
      <c r="K1307" s="94"/>
    </row>
    <row r="1308" spans="1:11" x14ac:dyDescent="0.25">
      <c r="A1308" s="92"/>
      <c r="B1308" s="104"/>
      <c r="C1308" s="96"/>
      <c r="D1308" s="104"/>
      <c r="E1308" s="104"/>
      <c r="F1308" s="105"/>
      <c r="G1308" s="105"/>
      <c r="H1308" s="106"/>
      <c r="I1308" s="106"/>
      <c r="J1308" s="106"/>
      <c r="K1308" s="94"/>
    </row>
    <row r="1309" spans="1:11" x14ac:dyDescent="0.25">
      <c r="A1309" s="92"/>
      <c r="B1309" s="104"/>
      <c r="C1309" s="96"/>
      <c r="D1309" s="104"/>
      <c r="E1309" s="104"/>
      <c r="F1309" s="105"/>
      <c r="G1309" s="105"/>
      <c r="H1309" s="106"/>
      <c r="I1309" s="106"/>
      <c r="J1309" s="106"/>
      <c r="K1309" s="94"/>
    </row>
    <row r="1310" spans="1:11" x14ac:dyDescent="0.25">
      <c r="A1310" s="92"/>
      <c r="B1310" s="104"/>
      <c r="C1310" s="104"/>
      <c r="D1310" s="104"/>
      <c r="E1310" s="104"/>
      <c r="F1310" s="105"/>
      <c r="G1310" s="105"/>
      <c r="H1310" s="106"/>
      <c r="I1310" s="106"/>
      <c r="J1310" s="106"/>
      <c r="K1310" s="94"/>
    </row>
    <row r="1311" spans="1:11" x14ac:dyDescent="0.25">
      <c r="A1311" s="92"/>
      <c r="B1311" s="104"/>
      <c r="C1311" s="104"/>
      <c r="D1311" s="104"/>
      <c r="E1311" s="104"/>
      <c r="F1311" s="105"/>
      <c r="G1311" s="105"/>
      <c r="H1311" s="106"/>
      <c r="I1311" s="106"/>
      <c r="J1311" s="106"/>
      <c r="K1311" s="94"/>
    </row>
    <row r="1312" spans="1:11" x14ac:dyDescent="0.25">
      <c r="A1312" s="92"/>
      <c r="B1312" s="104"/>
      <c r="C1312" s="104"/>
      <c r="D1312" s="104"/>
      <c r="E1312" s="104"/>
      <c r="F1312" s="105"/>
      <c r="G1312" s="105"/>
      <c r="H1312" s="106"/>
      <c r="I1312" s="106"/>
      <c r="J1312" s="106"/>
      <c r="K1312" s="94"/>
    </row>
    <row r="1313" spans="1:11" x14ac:dyDescent="0.25">
      <c r="A1313" s="92"/>
      <c r="B1313" s="104"/>
      <c r="C1313" s="104"/>
      <c r="D1313" s="104"/>
      <c r="E1313" s="104"/>
      <c r="F1313" s="105"/>
      <c r="G1313" s="105"/>
      <c r="H1313" s="106"/>
      <c r="I1313" s="106"/>
      <c r="J1313" s="106"/>
      <c r="K1313" s="94"/>
    </row>
    <row r="1314" spans="1:11" x14ac:dyDescent="0.25">
      <c r="A1314" s="92"/>
      <c r="B1314" s="104"/>
      <c r="C1314" s="104"/>
      <c r="D1314" s="104"/>
      <c r="E1314" s="104"/>
      <c r="F1314" s="105"/>
      <c r="G1314" s="105"/>
      <c r="H1314" s="106"/>
      <c r="I1314" s="106"/>
      <c r="J1314" s="106"/>
      <c r="K1314" s="94"/>
    </row>
    <row r="1315" spans="1:11" x14ac:dyDescent="0.25">
      <c r="A1315" s="92"/>
      <c r="B1315" s="104"/>
      <c r="C1315" s="104"/>
      <c r="D1315" s="104"/>
      <c r="E1315" s="104"/>
      <c r="F1315" s="105"/>
      <c r="G1315" s="105"/>
      <c r="H1315" s="106"/>
      <c r="I1315" s="106"/>
      <c r="J1315" s="106"/>
      <c r="K1315" s="94"/>
    </row>
    <row r="1316" spans="1:11" x14ac:dyDescent="0.25">
      <c r="A1316" s="92"/>
      <c r="B1316" s="104"/>
      <c r="C1316" s="104"/>
      <c r="D1316" s="104"/>
      <c r="E1316" s="104"/>
      <c r="F1316" s="105"/>
      <c r="G1316" s="105"/>
      <c r="H1316" s="106"/>
      <c r="I1316" s="106"/>
      <c r="J1316" s="106"/>
      <c r="K1316" s="94"/>
    </row>
    <row r="1317" spans="1:11" x14ac:dyDescent="0.25">
      <c r="A1317" s="92"/>
      <c r="B1317" s="104"/>
      <c r="C1317" s="104"/>
      <c r="D1317" s="104"/>
      <c r="E1317" s="104"/>
      <c r="F1317" s="105"/>
      <c r="G1317" s="105"/>
      <c r="H1317" s="106"/>
      <c r="I1317" s="106"/>
      <c r="J1317" s="106"/>
      <c r="K1317" s="94"/>
    </row>
    <row r="1318" spans="1:11" x14ac:dyDescent="0.25">
      <c r="A1318" s="92"/>
      <c r="B1318" s="104"/>
      <c r="C1318" s="104"/>
      <c r="D1318" s="104"/>
      <c r="E1318" s="104"/>
      <c r="F1318" s="105"/>
      <c r="G1318" s="105"/>
      <c r="H1318" s="106"/>
      <c r="I1318" s="106"/>
      <c r="J1318" s="106"/>
      <c r="K1318" s="94"/>
    </row>
    <row r="1319" spans="1:11" x14ac:dyDescent="0.25">
      <c r="A1319" s="92"/>
      <c r="B1319" s="104"/>
      <c r="C1319" s="104"/>
      <c r="D1319" s="104"/>
      <c r="E1319" s="104"/>
      <c r="F1319" s="105"/>
      <c r="G1319" s="105"/>
      <c r="H1319" s="106"/>
      <c r="I1319" s="106"/>
      <c r="J1319" s="106"/>
      <c r="K1319" s="94"/>
    </row>
    <row r="1320" spans="1:11" x14ac:dyDescent="0.25">
      <c r="A1320" s="92"/>
      <c r="B1320" s="104"/>
      <c r="C1320" s="104"/>
      <c r="D1320" s="104"/>
      <c r="E1320" s="104"/>
      <c r="F1320" s="105"/>
      <c r="G1320" s="105"/>
      <c r="H1320" s="106"/>
      <c r="I1320" s="106"/>
      <c r="J1320" s="106"/>
      <c r="K1320" s="94"/>
    </row>
    <row r="1321" spans="1:11" x14ac:dyDescent="0.25">
      <c r="A1321" s="92"/>
      <c r="B1321" s="104"/>
      <c r="C1321" s="104"/>
      <c r="D1321" s="104"/>
      <c r="E1321" s="104"/>
      <c r="F1321" s="105"/>
      <c r="G1321" s="105"/>
      <c r="H1321" s="106"/>
      <c r="I1321" s="106"/>
      <c r="J1321" s="106"/>
      <c r="K1321" s="94"/>
    </row>
    <row r="1322" spans="1:11" x14ac:dyDescent="0.25">
      <c r="A1322" s="92"/>
      <c r="B1322" s="104"/>
      <c r="C1322" s="104"/>
      <c r="D1322" s="104"/>
      <c r="E1322" s="104"/>
      <c r="F1322" s="105"/>
      <c r="G1322" s="105"/>
      <c r="H1322" s="106"/>
      <c r="I1322" s="106"/>
      <c r="J1322" s="106"/>
      <c r="K1322" s="94"/>
    </row>
    <row r="1323" spans="1:11" x14ac:dyDescent="0.25">
      <c r="A1323" s="92"/>
      <c r="B1323" s="104"/>
      <c r="C1323" s="104"/>
      <c r="D1323" s="104"/>
      <c r="E1323" s="104"/>
      <c r="F1323" s="105"/>
      <c r="G1323" s="105"/>
      <c r="H1323" s="106"/>
      <c r="I1323" s="106"/>
      <c r="J1323" s="106"/>
      <c r="K1323" s="94"/>
    </row>
    <row r="1324" spans="1:11" x14ac:dyDescent="0.25">
      <c r="A1324" s="92"/>
      <c r="B1324" s="104"/>
      <c r="C1324" s="104"/>
      <c r="D1324" s="104"/>
      <c r="E1324" s="104"/>
      <c r="F1324" s="105"/>
      <c r="G1324" s="105"/>
      <c r="H1324" s="106"/>
      <c r="I1324" s="106"/>
      <c r="J1324" s="106"/>
      <c r="K1324" s="94"/>
    </row>
    <row r="1325" spans="1:11" x14ac:dyDescent="0.25">
      <c r="A1325" s="92"/>
      <c r="B1325" s="104"/>
      <c r="C1325" s="96"/>
      <c r="D1325" s="104"/>
      <c r="E1325" s="104"/>
      <c r="F1325" s="105"/>
      <c r="G1325" s="105"/>
      <c r="H1325" s="106"/>
      <c r="I1325" s="106"/>
      <c r="J1325" s="106"/>
      <c r="K1325" s="94"/>
    </row>
    <row r="1326" spans="1:11" x14ac:dyDescent="0.25">
      <c r="A1326" s="92"/>
      <c r="B1326" s="104"/>
      <c r="C1326" s="96"/>
      <c r="D1326" s="104"/>
      <c r="E1326" s="104"/>
      <c r="F1326" s="105"/>
      <c r="G1326" s="105"/>
      <c r="H1326" s="106"/>
      <c r="I1326" s="106"/>
      <c r="J1326" s="106"/>
      <c r="K1326" s="94"/>
    </row>
    <row r="1327" spans="1:11" x14ac:dyDescent="0.25">
      <c r="A1327" s="92"/>
      <c r="B1327" s="104"/>
      <c r="C1327" s="96"/>
      <c r="D1327" s="104"/>
      <c r="E1327" s="104"/>
      <c r="F1327" s="105"/>
      <c r="G1327" s="105"/>
      <c r="H1327" s="106"/>
      <c r="I1327" s="106"/>
      <c r="J1327" s="106"/>
      <c r="K1327" s="94"/>
    </row>
    <row r="1328" spans="1:11" x14ac:dyDescent="0.25">
      <c r="A1328" s="92"/>
      <c r="B1328" s="104"/>
      <c r="C1328" s="96"/>
      <c r="D1328" s="104"/>
      <c r="E1328" s="104"/>
      <c r="F1328" s="105"/>
      <c r="G1328" s="105"/>
      <c r="H1328" s="106"/>
      <c r="I1328" s="106"/>
      <c r="J1328" s="106"/>
      <c r="K1328" s="94"/>
    </row>
    <row r="1329" spans="1:11" x14ac:dyDescent="0.25">
      <c r="A1329" s="92"/>
      <c r="B1329" s="104"/>
      <c r="C1329" s="96"/>
      <c r="D1329" s="104"/>
      <c r="E1329" s="104"/>
      <c r="F1329" s="105"/>
      <c r="G1329" s="105"/>
      <c r="H1329" s="106"/>
      <c r="I1329" s="106"/>
      <c r="J1329" s="106"/>
      <c r="K1329" s="94"/>
    </row>
    <row r="1330" spans="1:11" x14ac:dyDescent="0.25">
      <c r="A1330" s="92"/>
      <c r="B1330" s="104"/>
      <c r="C1330" s="96"/>
      <c r="D1330" s="104"/>
      <c r="E1330" s="104"/>
      <c r="F1330" s="105"/>
      <c r="G1330" s="105"/>
      <c r="H1330" s="106"/>
      <c r="I1330" s="106"/>
      <c r="J1330" s="106"/>
      <c r="K1330" s="94"/>
    </row>
    <row r="1331" spans="1:11" x14ac:dyDescent="0.25">
      <c r="A1331" s="92"/>
      <c r="B1331" s="104"/>
      <c r="C1331" s="96"/>
      <c r="D1331" s="104"/>
      <c r="E1331" s="104"/>
      <c r="F1331" s="105"/>
      <c r="G1331" s="105"/>
      <c r="H1331" s="106"/>
      <c r="I1331" s="106"/>
      <c r="J1331" s="106"/>
      <c r="K1331" s="94"/>
    </row>
    <row r="1332" spans="1:11" x14ac:dyDescent="0.25">
      <c r="A1332" s="92"/>
      <c r="B1332" s="104"/>
      <c r="C1332" s="96"/>
      <c r="D1332" s="104"/>
      <c r="E1332" s="104"/>
      <c r="F1332" s="105"/>
      <c r="G1332" s="105"/>
      <c r="H1332" s="106"/>
      <c r="I1332" s="106"/>
      <c r="J1332" s="106"/>
      <c r="K1332" s="94"/>
    </row>
    <row r="1333" spans="1:11" x14ac:dyDescent="0.25">
      <c r="A1333" s="92"/>
      <c r="B1333" s="104"/>
      <c r="C1333" s="96"/>
      <c r="D1333" s="104"/>
      <c r="E1333" s="104"/>
      <c r="F1333" s="105"/>
      <c r="G1333" s="105"/>
      <c r="H1333" s="106"/>
      <c r="I1333" s="106"/>
      <c r="J1333" s="106"/>
      <c r="K1333" s="94"/>
    </row>
    <row r="1334" spans="1:11" x14ac:dyDescent="0.25">
      <c r="A1334" s="92"/>
      <c r="B1334" s="104"/>
      <c r="C1334" s="96"/>
      <c r="D1334" s="104"/>
      <c r="E1334" s="104"/>
      <c r="F1334" s="105"/>
      <c r="G1334" s="105"/>
      <c r="H1334" s="106"/>
      <c r="I1334" s="106"/>
      <c r="J1334" s="106"/>
      <c r="K1334" s="94"/>
    </row>
    <row r="1335" spans="1:11" x14ac:dyDescent="0.25">
      <c r="A1335" s="92"/>
      <c r="B1335" s="104"/>
      <c r="C1335" s="96"/>
      <c r="D1335" s="104"/>
      <c r="E1335" s="104"/>
      <c r="F1335" s="105"/>
      <c r="G1335" s="105"/>
      <c r="H1335" s="106"/>
      <c r="I1335" s="106"/>
      <c r="J1335" s="106"/>
      <c r="K1335" s="94"/>
    </row>
    <row r="1336" spans="1:11" x14ac:dyDescent="0.25">
      <c r="A1336" s="92"/>
      <c r="B1336" s="104"/>
      <c r="C1336" s="96"/>
      <c r="D1336" s="104"/>
      <c r="E1336" s="104"/>
      <c r="F1336" s="105"/>
      <c r="G1336" s="105"/>
      <c r="H1336" s="106"/>
      <c r="I1336" s="106"/>
      <c r="J1336" s="106"/>
      <c r="K1336" s="94"/>
    </row>
    <row r="1337" spans="1:11" x14ac:dyDescent="0.25">
      <c r="A1337" s="92"/>
      <c r="B1337" s="104"/>
      <c r="C1337" s="96"/>
      <c r="D1337" s="104"/>
      <c r="E1337" s="104"/>
      <c r="F1337" s="105"/>
      <c r="G1337" s="105"/>
      <c r="H1337" s="106"/>
      <c r="I1337" s="106"/>
      <c r="J1337" s="106"/>
      <c r="K1337" s="94"/>
    </row>
    <row r="1338" spans="1:11" x14ac:dyDescent="0.25">
      <c r="A1338" s="92"/>
      <c r="B1338" s="104"/>
      <c r="C1338" s="96"/>
      <c r="D1338" s="104"/>
      <c r="E1338" s="104"/>
      <c r="F1338" s="105"/>
      <c r="G1338" s="105"/>
      <c r="H1338" s="106"/>
      <c r="I1338" s="106"/>
      <c r="J1338" s="106"/>
      <c r="K1338" s="94"/>
    </row>
    <row r="1339" spans="1:11" x14ac:dyDescent="0.25">
      <c r="A1339" s="92"/>
      <c r="B1339" s="104"/>
      <c r="C1339" s="96"/>
      <c r="D1339" s="104"/>
      <c r="E1339" s="104"/>
      <c r="F1339" s="105"/>
      <c r="G1339" s="105"/>
      <c r="H1339" s="106"/>
      <c r="I1339" s="106"/>
      <c r="J1339" s="106"/>
      <c r="K1339" s="94"/>
    </row>
    <row r="1340" spans="1:11" x14ac:dyDescent="0.25">
      <c r="A1340" s="92"/>
      <c r="B1340" s="104"/>
      <c r="C1340" s="96"/>
      <c r="D1340" s="104"/>
      <c r="E1340" s="104"/>
      <c r="F1340" s="105"/>
      <c r="G1340" s="105"/>
      <c r="H1340" s="106"/>
      <c r="I1340" s="106"/>
      <c r="J1340" s="106"/>
      <c r="K1340" s="94"/>
    </row>
    <row r="1341" spans="1:11" x14ac:dyDescent="0.25">
      <c r="A1341" s="92"/>
      <c r="B1341" s="104"/>
      <c r="C1341" s="96"/>
      <c r="D1341" s="104"/>
      <c r="E1341" s="104"/>
      <c r="F1341" s="105"/>
      <c r="G1341" s="105"/>
      <c r="H1341" s="106"/>
      <c r="I1341" s="106"/>
      <c r="J1341" s="106"/>
      <c r="K1341" s="94"/>
    </row>
    <row r="1342" spans="1:11" x14ac:dyDescent="0.25">
      <c r="A1342" s="92"/>
      <c r="B1342" s="104"/>
      <c r="C1342" s="96"/>
      <c r="D1342" s="104"/>
      <c r="E1342" s="104"/>
      <c r="F1342" s="105"/>
      <c r="G1342" s="105"/>
      <c r="H1342" s="106"/>
      <c r="I1342" s="106"/>
      <c r="J1342" s="106"/>
      <c r="K1342" s="94"/>
    </row>
    <row r="1343" spans="1:11" x14ac:dyDescent="0.25">
      <c r="A1343" s="92"/>
      <c r="B1343" s="104"/>
      <c r="C1343" s="96"/>
      <c r="D1343" s="104"/>
      <c r="E1343" s="104"/>
      <c r="F1343" s="105"/>
      <c r="G1343" s="105"/>
      <c r="H1343" s="106"/>
      <c r="I1343" s="106"/>
      <c r="J1343" s="106"/>
      <c r="K1343" s="94"/>
    </row>
    <row r="1344" spans="1:11" x14ac:dyDescent="0.25">
      <c r="A1344" s="92"/>
      <c r="B1344" s="104"/>
      <c r="C1344" s="96"/>
      <c r="D1344" s="104"/>
      <c r="E1344" s="104"/>
      <c r="F1344" s="105"/>
      <c r="G1344" s="105"/>
      <c r="H1344" s="106"/>
      <c r="I1344" s="106"/>
      <c r="J1344" s="106"/>
      <c r="K1344" s="94"/>
    </row>
    <row r="1345" spans="1:11" x14ac:dyDescent="0.25">
      <c r="A1345" s="92"/>
      <c r="B1345" s="104"/>
      <c r="C1345" s="104"/>
      <c r="D1345" s="104"/>
      <c r="E1345" s="104"/>
      <c r="F1345" s="105"/>
      <c r="G1345" s="105"/>
      <c r="H1345" s="106"/>
      <c r="I1345" s="106"/>
      <c r="J1345" s="106"/>
      <c r="K1345" s="94"/>
    </row>
    <row r="1346" spans="1:11" x14ac:dyDescent="0.25">
      <c r="A1346" s="92"/>
      <c r="B1346" s="104"/>
      <c r="C1346" s="104"/>
      <c r="D1346" s="104"/>
      <c r="E1346" s="104"/>
      <c r="F1346" s="105"/>
      <c r="G1346" s="105"/>
      <c r="H1346" s="106"/>
      <c r="I1346" s="106"/>
      <c r="J1346" s="106"/>
      <c r="K1346" s="94"/>
    </row>
    <row r="1347" spans="1:11" x14ac:dyDescent="0.25">
      <c r="A1347" s="92"/>
      <c r="B1347" s="104"/>
      <c r="C1347" s="104"/>
      <c r="D1347" s="104"/>
      <c r="E1347" s="104"/>
      <c r="F1347" s="105"/>
      <c r="G1347" s="105"/>
      <c r="H1347" s="106"/>
      <c r="I1347" s="106"/>
      <c r="J1347" s="106"/>
      <c r="K1347" s="94"/>
    </row>
    <row r="1348" spans="1:11" x14ac:dyDescent="0.25">
      <c r="A1348" s="92"/>
      <c r="B1348" s="104"/>
      <c r="C1348" s="104"/>
      <c r="D1348" s="104"/>
      <c r="E1348" s="104"/>
      <c r="F1348" s="105"/>
      <c r="G1348" s="105"/>
      <c r="H1348" s="106"/>
      <c r="I1348" s="106"/>
      <c r="J1348" s="106"/>
      <c r="K1348" s="94"/>
    </row>
    <row r="1349" spans="1:11" x14ac:dyDescent="0.25">
      <c r="A1349" s="92"/>
      <c r="B1349" s="104"/>
      <c r="C1349" s="104"/>
      <c r="D1349" s="104"/>
      <c r="E1349" s="104"/>
      <c r="F1349" s="105"/>
      <c r="G1349" s="105"/>
      <c r="H1349" s="106"/>
      <c r="I1349" s="106"/>
      <c r="J1349" s="106"/>
      <c r="K1349" s="94"/>
    </row>
    <row r="1350" spans="1:11" x14ac:dyDescent="0.25">
      <c r="A1350" s="92"/>
      <c r="B1350" s="104"/>
      <c r="C1350" s="104"/>
      <c r="D1350" s="104"/>
      <c r="E1350" s="104"/>
      <c r="F1350" s="105"/>
      <c r="G1350" s="105"/>
      <c r="H1350" s="106"/>
      <c r="I1350" s="106"/>
      <c r="J1350" s="106"/>
      <c r="K1350" s="94"/>
    </row>
    <row r="1351" spans="1:11" x14ac:dyDescent="0.25">
      <c r="A1351" s="92"/>
      <c r="B1351" s="104"/>
      <c r="C1351" s="104"/>
      <c r="D1351" s="104"/>
      <c r="E1351" s="104"/>
      <c r="F1351" s="105"/>
      <c r="G1351" s="105"/>
      <c r="H1351" s="106"/>
      <c r="I1351" s="106"/>
      <c r="J1351" s="106"/>
      <c r="K1351" s="94"/>
    </row>
    <row r="1352" spans="1:11" x14ac:dyDescent="0.25">
      <c r="A1352" s="92"/>
      <c r="B1352" s="104"/>
      <c r="C1352" s="104"/>
      <c r="D1352" s="104"/>
      <c r="E1352" s="104"/>
      <c r="F1352" s="105"/>
      <c r="G1352" s="105"/>
      <c r="H1352" s="106"/>
      <c r="I1352" s="106"/>
      <c r="J1352" s="106"/>
      <c r="K1352" s="94"/>
    </row>
    <row r="1353" spans="1:11" x14ac:dyDescent="0.25">
      <c r="A1353" s="92"/>
      <c r="B1353" s="104"/>
      <c r="C1353" s="104"/>
      <c r="D1353" s="104"/>
      <c r="E1353" s="104"/>
      <c r="F1353" s="105"/>
      <c r="G1353" s="105"/>
      <c r="H1353" s="106"/>
      <c r="I1353" s="106"/>
      <c r="J1353" s="106"/>
      <c r="K1353" s="94"/>
    </row>
    <row r="1354" spans="1:11" x14ac:dyDescent="0.25">
      <c r="A1354" s="92"/>
      <c r="B1354" s="104"/>
      <c r="C1354" s="104"/>
      <c r="D1354" s="104"/>
      <c r="E1354" s="104"/>
      <c r="F1354" s="105"/>
      <c r="G1354" s="105"/>
      <c r="H1354" s="106"/>
      <c r="I1354" s="106"/>
      <c r="J1354" s="106"/>
      <c r="K1354" s="94"/>
    </row>
    <row r="1355" spans="1:11" x14ac:dyDescent="0.25">
      <c r="A1355" s="92"/>
      <c r="B1355" s="104"/>
      <c r="C1355" s="104"/>
      <c r="D1355" s="104"/>
      <c r="E1355" s="104"/>
      <c r="F1355" s="105"/>
      <c r="G1355" s="105"/>
      <c r="H1355" s="106"/>
      <c r="I1355" s="106"/>
      <c r="J1355" s="106"/>
      <c r="K1355" s="94"/>
    </row>
    <row r="1356" spans="1:11" x14ac:dyDescent="0.25">
      <c r="A1356" s="92"/>
      <c r="B1356" s="104"/>
      <c r="C1356" s="104"/>
      <c r="D1356" s="104"/>
      <c r="E1356" s="104"/>
      <c r="F1356" s="105"/>
      <c r="G1356" s="105"/>
      <c r="H1356" s="106"/>
      <c r="I1356" s="106"/>
      <c r="J1356" s="106"/>
      <c r="K1356" s="94"/>
    </row>
    <row r="1357" spans="1:11" x14ac:dyDescent="0.25">
      <c r="A1357" s="92"/>
      <c r="B1357" s="104"/>
      <c r="C1357" s="104"/>
      <c r="D1357" s="104"/>
      <c r="E1357" s="104"/>
      <c r="F1357" s="105"/>
      <c r="G1357" s="105"/>
      <c r="H1357" s="106"/>
      <c r="I1357" s="106"/>
      <c r="J1357" s="106"/>
      <c r="K1357" s="94"/>
    </row>
    <row r="1358" spans="1:11" x14ac:dyDescent="0.25">
      <c r="A1358" s="92"/>
      <c r="B1358" s="104"/>
      <c r="C1358" s="104"/>
      <c r="D1358" s="104"/>
      <c r="E1358" s="104"/>
      <c r="F1358" s="105"/>
      <c r="G1358" s="105"/>
      <c r="H1358" s="106"/>
      <c r="I1358" s="106"/>
      <c r="J1358" s="106"/>
      <c r="K1358" s="94"/>
    </row>
    <row r="1359" spans="1:11" x14ac:dyDescent="0.25">
      <c r="A1359" s="92"/>
      <c r="B1359" s="104"/>
      <c r="C1359" s="104"/>
      <c r="D1359" s="104"/>
      <c r="E1359" s="104"/>
      <c r="F1359" s="105"/>
      <c r="G1359" s="105"/>
      <c r="H1359" s="106"/>
      <c r="I1359" s="106"/>
      <c r="J1359" s="106"/>
      <c r="K1359" s="94"/>
    </row>
    <row r="1360" spans="1:11" x14ac:dyDescent="0.25">
      <c r="A1360" s="92"/>
      <c r="B1360" s="104"/>
      <c r="C1360" s="104"/>
      <c r="D1360" s="104"/>
      <c r="E1360" s="104"/>
      <c r="F1360" s="105"/>
      <c r="G1360" s="105"/>
      <c r="H1360" s="106"/>
      <c r="I1360" s="106"/>
      <c r="J1360" s="106"/>
      <c r="K1360" s="94"/>
    </row>
    <row r="1361" spans="1:11" x14ac:dyDescent="0.25">
      <c r="A1361" s="92"/>
      <c r="B1361" s="104"/>
      <c r="C1361" s="104"/>
      <c r="D1361" s="104"/>
      <c r="E1361" s="104"/>
      <c r="F1361" s="105"/>
      <c r="G1361" s="105"/>
      <c r="H1361" s="106"/>
      <c r="I1361" s="106"/>
      <c r="J1361" s="106"/>
      <c r="K1361" s="94"/>
    </row>
    <row r="1362" spans="1:11" x14ac:dyDescent="0.25">
      <c r="A1362" s="92"/>
      <c r="B1362" s="104"/>
      <c r="C1362" s="104"/>
      <c r="D1362" s="104"/>
      <c r="E1362" s="104"/>
      <c r="F1362" s="105"/>
      <c r="G1362" s="105"/>
      <c r="H1362" s="106"/>
      <c r="I1362" s="106"/>
      <c r="J1362" s="106"/>
      <c r="K1362" s="94"/>
    </row>
    <row r="1363" spans="1:11" x14ac:dyDescent="0.25">
      <c r="A1363" s="92"/>
      <c r="B1363" s="104"/>
      <c r="C1363" s="104"/>
      <c r="D1363" s="104"/>
      <c r="E1363" s="104"/>
      <c r="F1363" s="105"/>
      <c r="G1363" s="105"/>
      <c r="H1363" s="106"/>
      <c r="I1363" s="106"/>
      <c r="J1363" s="106"/>
      <c r="K1363" s="94"/>
    </row>
    <row r="1364" spans="1:11" x14ac:dyDescent="0.25">
      <c r="A1364" s="92"/>
      <c r="B1364" s="104"/>
      <c r="C1364" s="104"/>
      <c r="D1364" s="104"/>
      <c r="E1364" s="104"/>
      <c r="F1364" s="105"/>
      <c r="G1364" s="105"/>
      <c r="H1364" s="106"/>
      <c r="I1364" s="106"/>
      <c r="J1364" s="106"/>
      <c r="K1364" s="94"/>
    </row>
    <row r="1365" spans="1:11" x14ac:dyDescent="0.25">
      <c r="A1365" s="92"/>
      <c r="B1365" s="104"/>
      <c r="C1365" s="104"/>
      <c r="D1365" s="104"/>
      <c r="E1365" s="104"/>
      <c r="F1365" s="105"/>
      <c r="G1365" s="105"/>
      <c r="H1365" s="106"/>
      <c r="I1365" s="106"/>
      <c r="J1365" s="106"/>
      <c r="K1365" s="94"/>
    </row>
    <row r="1366" spans="1:11" x14ac:dyDescent="0.25">
      <c r="A1366" s="92"/>
      <c r="B1366" s="104"/>
      <c r="C1366" s="104"/>
      <c r="D1366" s="104"/>
      <c r="E1366" s="104"/>
      <c r="F1366" s="105"/>
      <c r="G1366" s="105"/>
      <c r="H1366" s="106"/>
      <c r="I1366" s="106"/>
      <c r="J1366" s="106"/>
      <c r="K1366" s="94"/>
    </row>
    <row r="1367" spans="1:11" x14ac:dyDescent="0.25">
      <c r="A1367" s="92"/>
      <c r="B1367" s="104"/>
      <c r="C1367" s="104"/>
      <c r="D1367" s="104"/>
      <c r="E1367" s="104"/>
      <c r="F1367" s="105"/>
      <c r="G1367" s="105"/>
      <c r="H1367" s="106"/>
      <c r="I1367" s="106"/>
      <c r="J1367" s="106"/>
      <c r="K1367" s="94"/>
    </row>
    <row r="1368" spans="1:11" x14ac:dyDescent="0.25">
      <c r="A1368" s="92"/>
      <c r="B1368" s="104"/>
      <c r="C1368" s="104"/>
      <c r="D1368" s="104"/>
      <c r="E1368" s="104"/>
      <c r="F1368" s="105"/>
      <c r="G1368" s="105"/>
      <c r="H1368" s="106"/>
      <c r="I1368" s="106"/>
      <c r="J1368" s="106"/>
      <c r="K1368" s="94"/>
    </row>
    <row r="1369" spans="1:11" x14ac:dyDescent="0.25">
      <c r="A1369" s="92"/>
      <c r="B1369" s="104"/>
      <c r="C1369" s="104"/>
      <c r="D1369" s="104"/>
      <c r="E1369" s="104"/>
      <c r="F1369" s="105"/>
      <c r="G1369" s="105"/>
      <c r="H1369" s="106"/>
      <c r="I1369" s="106"/>
      <c r="J1369" s="106"/>
      <c r="K1369" s="94"/>
    </row>
    <row r="1370" spans="1:11" x14ac:dyDescent="0.25">
      <c r="A1370" s="92"/>
      <c r="B1370" s="104"/>
      <c r="C1370" s="104"/>
      <c r="D1370" s="104"/>
      <c r="E1370" s="104"/>
      <c r="F1370" s="105"/>
      <c r="G1370" s="105"/>
      <c r="H1370" s="106"/>
      <c r="I1370" s="106"/>
      <c r="J1370" s="106"/>
      <c r="K1370" s="94"/>
    </row>
    <row r="1371" spans="1:11" x14ac:dyDescent="0.25">
      <c r="A1371" s="92"/>
      <c r="B1371" s="104"/>
      <c r="C1371" s="104"/>
      <c r="D1371" s="104"/>
      <c r="E1371" s="104"/>
      <c r="F1371" s="105"/>
      <c r="G1371" s="105"/>
      <c r="H1371" s="106"/>
      <c r="I1371" s="106"/>
      <c r="J1371" s="106"/>
      <c r="K1371" s="94"/>
    </row>
    <row r="1372" spans="1:11" x14ac:dyDescent="0.25">
      <c r="A1372" s="92"/>
      <c r="B1372" s="104"/>
      <c r="C1372" s="104"/>
      <c r="D1372" s="104"/>
      <c r="E1372" s="104"/>
      <c r="F1372" s="105"/>
      <c r="G1372" s="105"/>
      <c r="H1372" s="106"/>
      <c r="I1372" s="106"/>
      <c r="J1372" s="106"/>
      <c r="K1372" s="94"/>
    </row>
    <row r="1373" spans="1:11" x14ac:dyDescent="0.25">
      <c r="A1373" s="92"/>
      <c r="B1373" s="104"/>
      <c r="C1373" s="104"/>
      <c r="D1373" s="104"/>
      <c r="E1373" s="104"/>
      <c r="F1373" s="105"/>
      <c r="G1373" s="105"/>
      <c r="H1373" s="106"/>
      <c r="I1373" s="106"/>
      <c r="J1373" s="106"/>
      <c r="K1373" s="94"/>
    </row>
    <row r="1374" spans="1:11" x14ac:dyDescent="0.25">
      <c r="A1374" s="92"/>
      <c r="B1374" s="104"/>
      <c r="C1374" s="104"/>
      <c r="D1374" s="104"/>
      <c r="E1374" s="104"/>
      <c r="F1374" s="105"/>
      <c r="G1374" s="105"/>
      <c r="H1374" s="106"/>
      <c r="I1374" s="106"/>
      <c r="J1374" s="106"/>
      <c r="K1374" s="94"/>
    </row>
    <row r="1375" spans="1:11" x14ac:dyDescent="0.25">
      <c r="A1375" s="92"/>
      <c r="B1375" s="104"/>
      <c r="C1375" s="104"/>
      <c r="D1375" s="104"/>
      <c r="E1375" s="104"/>
      <c r="F1375" s="105"/>
      <c r="G1375" s="105"/>
      <c r="H1375" s="106"/>
      <c r="I1375" s="106"/>
      <c r="J1375" s="106"/>
      <c r="K1375" s="94"/>
    </row>
    <row r="1376" spans="1:11" x14ac:dyDescent="0.25">
      <c r="A1376" s="92"/>
      <c r="B1376" s="104"/>
      <c r="C1376" s="104"/>
      <c r="D1376" s="104"/>
      <c r="E1376" s="104"/>
      <c r="F1376" s="105"/>
      <c r="G1376" s="105"/>
      <c r="H1376" s="106"/>
      <c r="I1376" s="106"/>
      <c r="J1376" s="106"/>
      <c r="K1376" s="94"/>
    </row>
    <row r="1377" spans="1:11" x14ac:dyDescent="0.25">
      <c r="A1377" s="92"/>
      <c r="B1377" s="104"/>
      <c r="C1377" s="104"/>
      <c r="D1377" s="104"/>
      <c r="E1377" s="104"/>
      <c r="F1377" s="105"/>
      <c r="G1377" s="105"/>
      <c r="H1377" s="106"/>
      <c r="I1377" s="106"/>
      <c r="J1377" s="106"/>
      <c r="K1377" s="94"/>
    </row>
    <row r="1378" spans="1:11" x14ac:dyDescent="0.25">
      <c r="A1378" s="92"/>
      <c r="B1378" s="104"/>
      <c r="C1378" s="104"/>
      <c r="D1378" s="104"/>
      <c r="E1378" s="104"/>
      <c r="F1378" s="105"/>
      <c r="G1378" s="105"/>
      <c r="H1378" s="106"/>
      <c r="I1378" s="106"/>
      <c r="J1378" s="106"/>
      <c r="K1378" s="94"/>
    </row>
    <row r="1379" spans="1:11" x14ac:dyDescent="0.25">
      <c r="A1379" s="92"/>
      <c r="B1379" s="104"/>
      <c r="C1379" s="104"/>
      <c r="D1379" s="104"/>
      <c r="E1379" s="104"/>
      <c r="F1379" s="105"/>
      <c r="G1379" s="105"/>
      <c r="H1379" s="106"/>
      <c r="I1379" s="106"/>
      <c r="J1379" s="106"/>
      <c r="K1379" s="94"/>
    </row>
    <row r="1380" spans="1:11" x14ac:dyDescent="0.25">
      <c r="A1380" s="92"/>
      <c r="B1380" s="104"/>
      <c r="C1380" s="104"/>
      <c r="D1380" s="104"/>
      <c r="E1380" s="104"/>
      <c r="F1380" s="105"/>
      <c r="G1380" s="105"/>
      <c r="H1380" s="106"/>
      <c r="I1380" s="106"/>
      <c r="J1380" s="106"/>
      <c r="K1380" s="94"/>
    </row>
    <row r="1381" spans="1:11" x14ac:dyDescent="0.25">
      <c r="A1381" s="92"/>
      <c r="B1381" s="104"/>
      <c r="C1381" s="104"/>
      <c r="D1381" s="104"/>
      <c r="E1381" s="104"/>
      <c r="F1381" s="105"/>
      <c r="G1381" s="105"/>
      <c r="H1381" s="106"/>
      <c r="I1381" s="106"/>
      <c r="J1381" s="106"/>
      <c r="K1381" s="94"/>
    </row>
    <row r="1382" spans="1:11" x14ac:dyDescent="0.25">
      <c r="A1382" s="92"/>
      <c r="B1382" s="104"/>
      <c r="C1382" s="104"/>
      <c r="D1382" s="104"/>
      <c r="E1382" s="104"/>
      <c r="F1382" s="105"/>
      <c r="G1382" s="105"/>
      <c r="H1382" s="106"/>
      <c r="I1382" s="106"/>
      <c r="J1382" s="106"/>
      <c r="K1382" s="94"/>
    </row>
    <row r="1383" spans="1:11" x14ac:dyDescent="0.25">
      <c r="A1383" s="92"/>
      <c r="B1383" s="104"/>
      <c r="C1383" s="104"/>
      <c r="D1383" s="104"/>
      <c r="E1383" s="104"/>
      <c r="F1383" s="105"/>
      <c r="G1383" s="105"/>
      <c r="H1383" s="106"/>
      <c r="I1383" s="106"/>
      <c r="J1383" s="106"/>
      <c r="K1383" s="94"/>
    </row>
    <row r="1384" spans="1:11" x14ac:dyDescent="0.25">
      <c r="A1384" s="92"/>
      <c r="B1384" s="104"/>
      <c r="C1384" s="104"/>
      <c r="D1384" s="104"/>
      <c r="E1384" s="104"/>
      <c r="F1384" s="105"/>
      <c r="G1384" s="105"/>
      <c r="H1384" s="106"/>
      <c r="I1384" s="106"/>
      <c r="J1384" s="106"/>
      <c r="K1384" s="94"/>
    </row>
    <row r="1385" spans="1:11" x14ac:dyDescent="0.25">
      <c r="A1385" s="92"/>
      <c r="B1385" s="104"/>
      <c r="C1385" s="104"/>
      <c r="D1385" s="104"/>
      <c r="E1385" s="104"/>
      <c r="F1385" s="105"/>
      <c r="G1385" s="105"/>
      <c r="H1385" s="106"/>
      <c r="I1385" s="106"/>
      <c r="J1385" s="106"/>
      <c r="K1385" s="94"/>
    </row>
    <row r="1386" spans="1:11" x14ac:dyDescent="0.25">
      <c r="A1386" s="92"/>
      <c r="B1386" s="104"/>
      <c r="C1386" s="104"/>
      <c r="D1386" s="104"/>
      <c r="E1386" s="104"/>
      <c r="F1386" s="105"/>
      <c r="G1386" s="105"/>
      <c r="H1386" s="106"/>
      <c r="I1386" s="106"/>
      <c r="J1386" s="106"/>
      <c r="K1386" s="94"/>
    </row>
    <row r="1387" spans="1:11" x14ac:dyDescent="0.25">
      <c r="A1387" s="92"/>
      <c r="B1387" s="104"/>
      <c r="C1387" s="104"/>
      <c r="D1387" s="104"/>
      <c r="E1387" s="104"/>
      <c r="F1387" s="105"/>
      <c r="G1387" s="105"/>
      <c r="H1387" s="106"/>
      <c r="I1387" s="106"/>
      <c r="J1387" s="106"/>
      <c r="K1387" s="94"/>
    </row>
    <row r="1388" spans="1:11" x14ac:dyDescent="0.25">
      <c r="A1388" s="92"/>
      <c r="B1388" s="104"/>
      <c r="C1388" s="104"/>
      <c r="D1388" s="104"/>
      <c r="E1388" s="104"/>
      <c r="F1388" s="105"/>
      <c r="G1388" s="105"/>
      <c r="H1388" s="106"/>
      <c r="I1388" s="106"/>
      <c r="J1388" s="106"/>
      <c r="K1388" s="94"/>
    </row>
    <row r="1389" spans="1:11" x14ac:dyDescent="0.25">
      <c r="A1389" s="92"/>
      <c r="B1389" s="104"/>
      <c r="C1389" s="104"/>
      <c r="D1389" s="104"/>
      <c r="E1389" s="104"/>
      <c r="F1389" s="105"/>
      <c r="G1389" s="105"/>
      <c r="H1389" s="106"/>
      <c r="I1389" s="106"/>
      <c r="J1389" s="106"/>
      <c r="K1389" s="94"/>
    </row>
    <row r="1390" spans="1:11" x14ac:dyDescent="0.25">
      <c r="A1390" s="92"/>
      <c r="B1390" s="104"/>
      <c r="C1390" s="104"/>
      <c r="D1390" s="104"/>
      <c r="E1390" s="104"/>
      <c r="F1390" s="105"/>
      <c r="G1390" s="105"/>
      <c r="H1390" s="106"/>
      <c r="I1390" s="106"/>
      <c r="J1390" s="106"/>
      <c r="K1390" s="94"/>
    </row>
    <row r="1391" spans="1:11" x14ac:dyDescent="0.25">
      <c r="A1391" s="92"/>
      <c r="B1391" s="104"/>
      <c r="C1391" s="104"/>
      <c r="D1391" s="104"/>
      <c r="E1391" s="104"/>
      <c r="F1391" s="105"/>
      <c r="G1391" s="105"/>
      <c r="H1391" s="106"/>
      <c r="I1391" s="106"/>
      <c r="J1391" s="106"/>
      <c r="K1391" s="94"/>
    </row>
    <row r="1392" spans="1:11" x14ac:dyDescent="0.25">
      <c r="A1392" s="92"/>
      <c r="B1392" s="104"/>
      <c r="C1392" s="104"/>
      <c r="D1392" s="104"/>
      <c r="E1392" s="104"/>
      <c r="F1392" s="105"/>
      <c r="G1392" s="105"/>
      <c r="H1392" s="106"/>
      <c r="I1392" s="106"/>
      <c r="J1392" s="106"/>
      <c r="K1392" s="94"/>
    </row>
    <row r="1393" spans="1:11" x14ac:dyDescent="0.25">
      <c r="A1393" s="92"/>
      <c r="B1393" s="104"/>
      <c r="C1393" s="104"/>
      <c r="D1393" s="104"/>
      <c r="E1393" s="104"/>
      <c r="F1393" s="105"/>
      <c r="G1393" s="105"/>
      <c r="H1393" s="106"/>
      <c r="I1393" s="106"/>
      <c r="J1393" s="106"/>
      <c r="K1393" s="94"/>
    </row>
    <row r="1394" spans="1:11" x14ac:dyDescent="0.25">
      <c r="A1394" s="92"/>
      <c r="B1394" s="104"/>
      <c r="C1394" s="104"/>
      <c r="D1394" s="104"/>
      <c r="E1394" s="104"/>
      <c r="F1394" s="105"/>
      <c r="G1394" s="105"/>
      <c r="H1394" s="106"/>
      <c r="I1394" s="106"/>
      <c r="J1394" s="106"/>
      <c r="K1394" s="94"/>
    </row>
    <row r="1395" spans="1:11" x14ac:dyDescent="0.25">
      <c r="A1395" s="92"/>
      <c r="B1395" s="104"/>
      <c r="C1395" s="104"/>
      <c r="D1395" s="104"/>
      <c r="E1395" s="104"/>
      <c r="F1395" s="105"/>
      <c r="G1395" s="105"/>
      <c r="H1395" s="106"/>
      <c r="I1395" s="106"/>
      <c r="J1395" s="106"/>
      <c r="K1395" s="94"/>
    </row>
    <row r="1396" spans="1:11" x14ac:dyDescent="0.25">
      <c r="A1396" s="92"/>
      <c r="B1396" s="104"/>
      <c r="C1396" s="104"/>
      <c r="D1396" s="104"/>
      <c r="E1396" s="104"/>
      <c r="F1396" s="105"/>
      <c r="G1396" s="105"/>
      <c r="H1396" s="106"/>
      <c r="I1396" s="106"/>
      <c r="J1396" s="106"/>
      <c r="K1396" s="94"/>
    </row>
    <row r="1397" spans="1:11" x14ac:dyDescent="0.25">
      <c r="A1397" s="92"/>
      <c r="B1397" s="104"/>
      <c r="C1397" s="104"/>
      <c r="D1397" s="104"/>
      <c r="E1397" s="104"/>
      <c r="F1397" s="105"/>
      <c r="G1397" s="105"/>
      <c r="H1397" s="106"/>
      <c r="I1397" s="106"/>
      <c r="J1397" s="106"/>
      <c r="K1397" s="94"/>
    </row>
    <row r="1398" spans="1:11" x14ac:dyDescent="0.25">
      <c r="A1398" s="92"/>
      <c r="B1398" s="104"/>
      <c r="C1398" s="104"/>
      <c r="D1398" s="104"/>
      <c r="E1398" s="104"/>
      <c r="F1398" s="105"/>
      <c r="G1398" s="105"/>
      <c r="H1398" s="106"/>
      <c r="I1398" s="106"/>
      <c r="J1398" s="106"/>
      <c r="K1398" s="94"/>
    </row>
    <row r="1399" spans="1:11" x14ac:dyDescent="0.25">
      <c r="A1399" s="92"/>
      <c r="B1399" s="104"/>
      <c r="C1399" s="104"/>
      <c r="D1399" s="104"/>
      <c r="E1399" s="104"/>
      <c r="F1399" s="105"/>
      <c r="G1399" s="105"/>
      <c r="H1399" s="106"/>
      <c r="I1399" s="106"/>
      <c r="J1399" s="106"/>
      <c r="K1399" s="94"/>
    </row>
    <row r="1400" spans="1:11" x14ac:dyDescent="0.25">
      <c r="A1400" s="92"/>
      <c r="B1400" s="104"/>
      <c r="C1400" s="104"/>
      <c r="D1400" s="104"/>
      <c r="E1400" s="104"/>
      <c r="F1400" s="105"/>
      <c r="G1400" s="105"/>
      <c r="H1400" s="106"/>
      <c r="I1400" s="106"/>
      <c r="J1400" s="106"/>
      <c r="K1400" s="94"/>
    </row>
    <row r="1401" spans="1:11" x14ac:dyDescent="0.25">
      <c r="A1401" s="92"/>
      <c r="B1401" s="104"/>
      <c r="C1401" s="104"/>
      <c r="D1401" s="104"/>
      <c r="E1401" s="104"/>
      <c r="F1401" s="105"/>
      <c r="G1401" s="105"/>
      <c r="H1401" s="106"/>
      <c r="I1401" s="106"/>
      <c r="J1401" s="106"/>
      <c r="K1401" s="94"/>
    </row>
    <row r="1402" spans="1:11" x14ac:dyDescent="0.25">
      <c r="A1402" s="92"/>
      <c r="B1402" s="104"/>
      <c r="C1402" s="104"/>
      <c r="D1402" s="104"/>
      <c r="E1402" s="104"/>
      <c r="F1402" s="105"/>
      <c r="G1402" s="105"/>
      <c r="H1402" s="106"/>
      <c r="I1402" s="106"/>
      <c r="J1402" s="106"/>
      <c r="K1402" s="94"/>
    </row>
    <row r="1403" spans="1:11" x14ac:dyDescent="0.25">
      <c r="A1403" s="92"/>
      <c r="B1403" s="104"/>
      <c r="C1403" s="104"/>
      <c r="D1403" s="104"/>
      <c r="E1403" s="104"/>
      <c r="F1403" s="105"/>
      <c r="G1403" s="105"/>
      <c r="H1403" s="106"/>
      <c r="I1403" s="106"/>
      <c r="J1403" s="106"/>
      <c r="K1403" s="94"/>
    </row>
    <row r="1404" spans="1:11" x14ac:dyDescent="0.25">
      <c r="A1404" s="92"/>
      <c r="B1404" s="104"/>
      <c r="C1404" s="104"/>
      <c r="D1404" s="104"/>
      <c r="E1404" s="104"/>
      <c r="F1404" s="105"/>
      <c r="G1404" s="105"/>
      <c r="H1404" s="106"/>
      <c r="I1404" s="106"/>
      <c r="J1404" s="106"/>
      <c r="K1404" s="94"/>
    </row>
    <row r="1405" spans="1:11" x14ac:dyDescent="0.25">
      <c r="A1405" s="92"/>
      <c r="B1405" s="104"/>
      <c r="C1405" s="104"/>
      <c r="D1405" s="104"/>
      <c r="E1405" s="104"/>
      <c r="F1405" s="105"/>
      <c r="G1405" s="105"/>
      <c r="H1405" s="106"/>
      <c r="I1405" s="106"/>
      <c r="J1405" s="106"/>
      <c r="K1405" s="94"/>
    </row>
    <row r="1406" spans="1:11" x14ac:dyDescent="0.25">
      <c r="A1406" s="92"/>
      <c r="B1406" s="104"/>
      <c r="C1406" s="104"/>
      <c r="D1406" s="104"/>
      <c r="E1406" s="104"/>
      <c r="F1406" s="105"/>
      <c r="G1406" s="105"/>
      <c r="H1406" s="106"/>
      <c r="I1406" s="106"/>
      <c r="J1406" s="106"/>
      <c r="K1406" s="94"/>
    </row>
    <row r="1407" spans="1:11" x14ac:dyDescent="0.25">
      <c r="A1407" s="92"/>
      <c r="B1407" s="104"/>
      <c r="C1407" s="104"/>
      <c r="D1407" s="104"/>
      <c r="E1407" s="104"/>
      <c r="F1407" s="105"/>
      <c r="G1407" s="105"/>
      <c r="H1407" s="106"/>
      <c r="I1407" s="106"/>
      <c r="J1407" s="106"/>
      <c r="K1407" s="94"/>
    </row>
    <row r="1408" spans="1:11" x14ac:dyDescent="0.25">
      <c r="A1408" s="92"/>
      <c r="B1408" s="104"/>
      <c r="C1408" s="104"/>
      <c r="D1408" s="104"/>
      <c r="E1408" s="104"/>
      <c r="F1408" s="105"/>
      <c r="G1408" s="105"/>
      <c r="H1408" s="106"/>
      <c r="I1408" s="106"/>
      <c r="J1408" s="106"/>
      <c r="K1408" s="94"/>
    </row>
    <row r="1409" spans="1:11" x14ac:dyDescent="0.25">
      <c r="A1409" s="92"/>
      <c r="B1409" s="104"/>
      <c r="C1409" s="104"/>
      <c r="D1409" s="104"/>
      <c r="E1409" s="104"/>
      <c r="F1409" s="105"/>
      <c r="G1409" s="105"/>
      <c r="H1409" s="106"/>
      <c r="I1409" s="106"/>
      <c r="J1409" s="106"/>
      <c r="K1409" s="94"/>
    </row>
    <row r="1410" spans="1:11" x14ac:dyDescent="0.25">
      <c r="A1410" s="92"/>
      <c r="B1410" s="104"/>
      <c r="C1410" s="104"/>
      <c r="D1410" s="104"/>
      <c r="E1410" s="104"/>
      <c r="F1410" s="105"/>
      <c r="G1410" s="105"/>
      <c r="H1410" s="106"/>
      <c r="I1410" s="106"/>
      <c r="J1410" s="106"/>
      <c r="K1410" s="94"/>
    </row>
    <row r="1411" spans="1:11" x14ac:dyDescent="0.25">
      <c r="A1411" s="92"/>
      <c r="B1411" s="104"/>
      <c r="C1411" s="104"/>
      <c r="D1411" s="104"/>
      <c r="E1411" s="104"/>
      <c r="F1411" s="105"/>
      <c r="G1411" s="105"/>
      <c r="H1411" s="106"/>
      <c r="I1411" s="106"/>
      <c r="J1411" s="106"/>
      <c r="K1411" s="94"/>
    </row>
    <row r="1412" spans="1:11" x14ac:dyDescent="0.25">
      <c r="A1412" s="92"/>
      <c r="B1412" s="104"/>
      <c r="C1412" s="104"/>
      <c r="D1412" s="104"/>
      <c r="E1412" s="104"/>
      <c r="F1412" s="105"/>
      <c r="G1412" s="105"/>
      <c r="H1412" s="106"/>
      <c r="I1412" s="106"/>
      <c r="J1412" s="106"/>
      <c r="K1412" s="94"/>
    </row>
    <row r="1413" spans="1:11" x14ac:dyDescent="0.25">
      <c r="A1413" s="92"/>
      <c r="B1413" s="104"/>
      <c r="C1413" s="104"/>
      <c r="D1413" s="104"/>
      <c r="E1413" s="104"/>
      <c r="F1413" s="105"/>
      <c r="G1413" s="105"/>
      <c r="H1413" s="106"/>
      <c r="I1413" s="106"/>
      <c r="J1413" s="106"/>
      <c r="K1413" s="94"/>
    </row>
    <row r="1414" spans="1:11" x14ac:dyDescent="0.25">
      <c r="A1414" s="92"/>
      <c r="B1414" s="104"/>
      <c r="C1414" s="104"/>
      <c r="D1414" s="104"/>
      <c r="E1414" s="104"/>
      <c r="F1414" s="105"/>
      <c r="G1414" s="105"/>
      <c r="H1414" s="106"/>
      <c r="I1414" s="106"/>
      <c r="J1414" s="106"/>
      <c r="K1414" s="94"/>
    </row>
    <row r="1415" spans="1:11" x14ac:dyDescent="0.25">
      <c r="A1415" s="92"/>
      <c r="B1415" s="104"/>
      <c r="C1415" s="104"/>
      <c r="D1415" s="104"/>
      <c r="E1415" s="104"/>
      <c r="F1415" s="105"/>
      <c r="G1415" s="105"/>
      <c r="H1415" s="106"/>
      <c r="I1415" s="106"/>
      <c r="J1415" s="106"/>
      <c r="K1415" s="94"/>
    </row>
    <row r="1416" spans="1:11" x14ac:dyDescent="0.25">
      <c r="A1416" s="92"/>
      <c r="B1416" s="104"/>
      <c r="C1416" s="104"/>
      <c r="D1416" s="104"/>
      <c r="E1416" s="104"/>
      <c r="F1416" s="105"/>
      <c r="G1416" s="105"/>
      <c r="H1416" s="106"/>
      <c r="I1416" s="106"/>
      <c r="J1416" s="106"/>
      <c r="K1416" s="94"/>
    </row>
    <row r="1417" spans="1:11" x14ac:dyDescent="0.25">
      <c r="A1417" s="92"/>
      <c r="B1417" s="104"/>
      <c r="C1417" s="104"/>
      <c r="D1417" s="104"/>
      <c r="E1417" s="104"/>
      <c r="F1417" s="105"/>
      <c r="G1417" s="105"/>
      <c r="H1417" s="106"/>
      <c r="I1417" s="106"/>
      <c r="J1417" s="106"/>
      <c r="K1417" s="94"/>
    </row>
    <row r="1418" spans="1:11" x14ac:dyDescent="0.25">
      <c r="A1418" s="92"/>
      <c r="B1418" s="104"/>
      <c r="C1418" s="104"/>
      <c r="D1418" s="104"/>
      <c r="E1418" s="104"/>
      <c r="F1418" s="105"/>
      <c r="G1418" s="105"/>
      <c r="H1418" s="106"/>
      <c r="I1418" s="106"/>
      <c r="J1418" s="106"/>
      <c r="K1418" s="94"/>
    </row>
    <row r="1419" spans="1:11" x14ac:dyDescent="0.25">
      <c r="A1419" s="92"/>
      <c r="B1419" s="104"/>
      <c r="C1419" s="104"/>
      <c r="D1419" s="104"/>
      <c r="E1419" s="104"/>
      <c r="F1419" s="105"/>
      <c r="G1419" s="105"/>
      <c r="H1419" s="106"/>
      <c r="I1419" s="106"/>
      <c r="J1419" s="106"/>
      <c r="K1419" s="94"/>
    </row>
    <row r="1420" spans="1:11" x14ac:dyDescent="0.25">
      <c r="A1420" s="92"/>
      <c r="B1420" s="104"/>
      <c r="C1420" s="104"/>
      <c r="D1420" s="104"/>
      <c r="E1420" s="104"/>
      <c r="F1420" s="105"/>
      <c r="G1420" s="105"/>
      <c r="H1420" s="106"/>
      <c r="I1420" s="106"/>
      <c r="J1420" s="106"/>
      <c r="K1420" s="94"/>
    </row>
    <row r="1421" spans="1:11" x14ac:dyDescent="0.25">
      <c r="A1421" s="92"/>
      <c r="B1421" s="104"/>
      <c r="C1421" s="104"/>
      <c r="D1421" s="104"/>
      <c r="E1421" s="104"/>
      <c r="F1421" s="105"/>
      <c r="G1421" s="105"/>
      <c r="H1421" s="106"/>
      <c r="I1421" s="106"/>
      <c r="J1421" s="106"/>
      <c r="K1421" s="94"/>
    </row>
    <row r="1422" spans="1:11" x14ac:dyDescent="0.25">
      <c r="A1422" s="92"/>
      <c r="B1422" s="104"/>
      <c r="C1422" s="104"/>
      <c r="D1422" s="104"/>
      <c r="E1422" s="104"/>
      <c r="F1422" s="105"/>
      <c r="G1422" s="105"/>
      <c r="H1422" s="106"/>
      <c r="I1422" s="106"/>
      <c r="J1422" s="106"/>
      <c r="K1422" s="94"/>
    </row>
    <row r="1423" spans="1:11" x14ac:dyDescent="0.25">
      <c r="A1423" s="92"/>
      <c r="B1423" s="104"/>
      <c r="C1423" s="104"/>
      <c r="D1423" s="104"/>
      <c r="E1423" s="104"/>
      <c r="F1423" s="105"/>
      <c r="G1423" s="105"/>
      <c r="H1423" s="106"/>
      <c r="I1423" s="106"/>
      <c r="J1423" s="106"/>
      <c r="K1423" s="94"/>
    </row>
    <row r="1424" spans="1:11" x14ac:dyDescent="0.25">
      <c r="A1424" s="92"/>
      <c r="B1424" s="104"/>
      <c r="C1424" s="104"/>
      <c r="D1424" s="104"/>
      <c r="E1424" s="104"/>
      <c r="F1424" s="105"/>
      <c r="G1424" s="105"/>
      <c r="H1424" s="106"/>
      <c r="I1424" s="106"/>
      <c r="J1424" s="106"/>
      <c r="K1424" s="94"/>
    </row>
    <row r="1425" spans="1:11" x14ac:dyDescent="0.25">
      <c r="A1425" s="92"/>
      <c r="B1425" s="104"/>
      <c r="C1425" s="104"/>
      <c r="D1425" s="104"/>
      <c r="E1425" s="104"/>
      <c r="F1425" s="105"/>
      <c r="G1425" s="105"/>
      <c r="H1425" s="106"/>
      <c r="I1425" s="106"/>
      <c r="J1425" s="106"/>
      <c r="K1425" s="94"/>
    </row>
    <row r="1426" spans="1:11" x14ac:dyDescent="0.25">
      <c r="A1426" s="92"/>
      <c r="B1426" s="104"/>
      <c r="C1426" s="104"/>
      <c r="D1426" s="104"/>
      <c r="E1426" s="104"/>
      <c r="F1426" s="105"/>
      <c r="G1426" s="105"/>
      <c r="H1426" s="106"/>
      <c r="I1426" s="106"/>
      <c r="J1426" s="106"/>
      <c r="K1426" s="94"/>
    </row>
    <row r="1427" spans="1:11" x14ac:dyDescent="0.25">
      <c r="A1427" s="92"/>
      <c r="B1427" s="104"/>
      <c r="C1427" s="104"/>
      <c r="D1427" s="104"/>
      <c r="E1427" s="104"/>
      <c r="F1427" s="105"/>
      <c r="G1427" s="105"/>
      <c r="H1427" s="106"/>
      <c r="I1427" s="106"/>
      <c r="J1427" s="106"/>
      <c r="K1427" s="94"/>
    </row>
    <row r="1428" spans="1:11" x14ac:dyDescent="0.25">
      <c r="A1428" s="92"/>
      <c r="B1428" s="104"/>
      <c r="C1428" s="104"/>
      <c r="D1428" s="104"/>
      <c r="E1428" s="104"/>
      <c r="F1428" s="105"/>
      <c r="G1428" s="105"/>
      <c r="H1428" s="106"/>
      <c r="I1428" s="106"/>
      <c r="J1428" s="106"/>
      <c r="K1428" s="94"/>
    </row>
    <row r="1429" spans="1:11" x14ac:dyDescent="0.25">
      <c r="A1429" s="92"/>
      <c r="B1429" s="104"/>
      <c r="C1429" s="104"/>
      <c r="D1429" s="104"/>
      <c r="E1429" s="104"/>
      <c r="F1429" s="105"/>
      <c r="G1429" s="105"/>
      <c r="H1429" s="106"/>
      <c r="I1429" s="106"/>
      <c r="J1429" s="106"/>
      <c r="K1429" s="94"/>
    </row>
    <row r="1430" spans="1:11" x14ac:dyDescent="0.25">
      <c r="A1430" s="92"/>
      <c r="B1430" s="104"/>
      <c r="C1430" s="104"/>
      <c r="D1430" s="104"/>
      <c r="E1430" s="104"/>
      <c r="F1430" s="105"/>
      <c r="G1430" s="105"/>
      <c r="H1430" s="106"/>
      <c r="I1430" s="106"/>
      <c r="J1430" s="106"/>
      <c r="K1430" s="94"/>
    </row>
    <row r="1431" spans="1:11" x14ac:dyDescent="0.25">
      <c r="A1431" s="92"/>
      <c r="B1431" s="104"/>
      <c r="C1431" s="104"/>
      <c r="D1431" s="104"/>
      <c r="E1431" s="104"/>
      <c r="F1431" s="105"/>
      <c r="G1431" s="105"/>
      <c r="H1431" s="106"/>
      <c r="I1431" s="106"/>
      <c r="J1431" s="106"/>
      <c r="K1431" s="94"/>
    </row>
    <row r="1432" spans="1:11" x14ac:dyDescent="0.25">
      <c r="A1432" s="92"/>
      <c r="B1432" s="104"/>
      <c r="C1432" s="104"/>
      <c r="D1432" s="104"/>
      <c r="E1432" s="104"/>
      <c r="F1432" s="105"/>
      <c r="G1432" s="105"/>
      <c r="H1432" s="106"/>
      <c r="I1432" s="106"/>
      <c r="J1432" s="106"/>
      <c r="K1432" s="94"/>
    </row>
    <row r="1433" spans="1:11" x14ac:dyDescent="0.25">
      <c r="A1433" s="92"/>
      <c r="B1433" s="104"/>
      <c r="C1433" s="104"/>
      <c r="D1433" s="104"/>
      <c r="E1433" s="104"/>
      <c r="F1433" s="105"/>
      <c r="G1433" s="105"/>
      <c r="H1433" s="106"/>
      <c r="I1433" s="106"/>
      <c r="J1433" s="106"/>
      <c r="K1433" s="94"/>
    </row>
    <row r="1434" spans="1:11" x14ac:dyDescent="0.25">
      <c r="A1434" s="92"/>
      <c r="B1434" s="104"/>
      <c r="C1434" s="104"/>
      <c r="D1434" s="104"/>
      <c r="E1434" s="104"/>
      <c r="F1434" s="105"/>
      <c r="G1434" s="105"/>
      <c r="H1434" s="106"/>
      <c r="I1434" s="106"/>
      <c r="J1434" s="106"/>
      <c r="K1434" s="94"/>
    </row>
    <row r="1435" spans="1:11" x14ac:dyDescent="0.25">
      <c r="A1435" s="92"/>
      <c r="B1435" s="104"/>
      <c r="C1435" s="104"/>
      <c r="D1435" s="104"/>
      <c r="E1435" s="104"/>
      <c r="F1435" s="105"/>
      <c r="G1435" s="105"/>
      <c r="H1435" s="106"/>
      <c r="I1435" s="106"/>
      <c r="J1435" s="106"/>
      <c r="K1435" s="94"/>
    </row>
    <row r="1436" spans="1:11" x14ac:dyDescent="0.25">
      <c r="A1436" s="92"/>
      <c r="B1436" s="104"/>
      <c r="C1436" s="104"/>
      <c r="D1436" s="104"/>
      <c r="E1436" s="104"/>
      <c r="F1436" s="105"/>
      <c r="G1436" s="105"/>
      <c r="H1436" s="106"/>
      <c r="I1436" s="106"/>
      <c r="J1436" s="106"/>
      <c r="K1436" s="94"/>
    </row>
    <row r="1437" spans="1:11" x14ac:dyDescent="0.25">
      <c r="A1437" s="92"/>
      <c r="B1437" s="104"/>
      <c r="C1437" s="104"/>
      <c r="D1437" s="104"/>
      <c r="E1437" s="104"/>
      <c r="F1437" s="105"/>
      <c r="G1437" s="105"/>
      <c r="H1437" s="106"/>
      <c r="I1437" s="106"/>
      <c r="J1437" s="106"/>
      <c r="K1437" s="94"/>
    </row>
    <row r="1438" spans="1:11" x14ac:dyDescent="0.25">
      <c r="A1438" s="92"/>
      <c r="B1438" s="104"/>
      <c r="C1438" s="104"/>
      <c r="D1438" s="104"/>
      <c r="E1438" s="104"/>
      <c r="F1438" s="105"/>
      <c r="G1438" s="105"/>
      <c r="H1438" s="106"/>
      <c r="I1438" s="106"/>
      <c r="J1438" s="106"/>
      <c r="K1438" s="94"/>
    </row>
    <row r="1439" spans="1:11" x14ac:dyDescent="0.25">
      <c r="A1439" s="92"/>
      <c r="B1439" s="104"/>
      <c r="C1439" s="104"/>
      <c r="D1439" s="104"/>
      <c r="E1439" s="104"/>
      <c r="F1439" s="105"/>
      <c r="G1439" s="105"/>
      <c r="H1439" s="106"/>
      <c r="I1439" s="106"/>
      <c r="J1439" s="106"/>
      <c r="K1439" s="94"/>
    </row>
    <row r="1440" spans="1:11" x14ac:dyDescent="0.25">
      <c r="A1440" s="92"/>
      <c r="B1440" s="104"/>
      <c r="C1440" s="104"/>
      <c r="D1440" s="104"/>
      <c r="E1440" s="104"/>
      <c r="F1440" s="105"/>
      <c r="G1440" s="105"/>
      <c r="H1440" s="106"/>
      <c r="I1440" s="106"/>
      <c r="J1440" s="106"/>
      <c r="K1440" s="94"/>
    </row>
    <row r="1441" spans="1:11" x14ac:dyDescent="0.25">
      <c r="A1441" s="92"/>
      <c r="B1441" s="104"/>
      <c r="C1441" s="104"/>
      <c r="D1441" s="104"/>
      <c r="E1441" s="104"/>
      <c r="F1441" s="105"/>
      <c r="G1441" s="105"/>
      <c r="H1441" s="106"/>
      <c r="I1441" s="106"/>
      <c r="J1441" s="106"/>
      <c r="K1441" s="94"/>
    </row>
    <row r="1442" spans="1:11" x14ac:dyDescent="0.25">
      <c r="A1442" s="92"/>
      <c r="B1442" s="104"/>
      <c r="C1442" s="104"/>
      <c r="D1442" s="104"/>
      <c r="E1442" s="104"/>
      <c r="F1442" s="105"/>
      <c r="G1442" s="105"/>
      <c r="H1442" s="106"/>
      <c r="I1442" s="106"/>
      <c r="J1442" s="106"/>
      <c r="K1442" s="94"/>
    </row>
    <row r="1443" spans="1:11" x14ac:dyDescent="0.25">
      <c r="A1443" s="92"/>
      <c r="B1443" s="104"/>
      <c r="C1443" s="104"/>
      <c r="D1443" s="104"/>
      <c r="E1443" s="104"/>
      <c r="F1443" s="105"/>
      <c r="G1443" s="105"/>
      <c r="H1443" s="106"/>
      <c r="I1443" s="106"/>
      <c r="J1443" s="106"/>
      <c r="K1443" s="94"/>
    </row>
    <row r="1444" spans="1:11" x14ac:dyDescent="0.25">
      <c r="A1444" s="92"/>
      <c r="B1444" s="104"/>
      <c r="C1444" s="104"/>
      <c r="D1444" s="104"/>
      <c r="E1444" s="104"/>
      <c r="F1444" s="105"/>
      <c r="G1444" s="105"/>
      <c r="H1444" s="106"/>
      <c r="I1444" s="106"/>
      <c r="J1444" s="106"/>
      <c r="K1444" s="94"/>
    </row>
    <row r="1445" spans="1:11" x14ac:dyDescent="0.25">
      <c r="A1445" s="92"/>
      <c r="B1445" s="104"/>
      <c r="C1445" s="104"/>
      <c r="D1445" s="104"/>
      <c r="E1445" s="104"/>
      <c r="F1445" s="105"/>
      <c r="G1445" s="105"/>
      <c r="H1445" s="106"/>
      <c r="I1445" s="106"/>
      <c r="J1445" s="106"/>
      <c r="K1445" s="94"/>
    </row>
    <row r="1446" spans="1:11" x14ac:dyDescent="0.25">
      <c r="A1446" s="92"/>
      <c r="B1446" s="104"/>
      <c r="C1446" s="104"/>
      <c r="D1446" s="104"/>
      <c r="E1446" s="104"/>
      <c r="F1446" s="105"/>
      <c r="G1446" s="105"/>
      <c r="H1446" s="106"/>
      <c r="I1446" s="106"/>
      <c r="J1446" s="106"/>
      <c r="K1446" s="94"/>
    </row>
    <row r="1447" spans="1:11" x14ac:dyDescent="0.25">
      <c r="A1447" s="92"/>
      <c r="B1447" s="104"/>
      <c r="C1447" s="104"/>
      <c r="D1447" s="104"/>
      <c r="E1447" s="104"/>
      <c r="F1447" s="105"/>
      <c r="G1447" s="105"/>
      <c r="H1447" s="106"/>
      <c r="I1447" s="106"/>
      <c r="J1447" s="106"/>
      <c r="K1447" s="94"/>
    </row>
    <row r="1448" spans="1:11" x14ac:dyDescent="0.25">
      <c r="A1448" s="92"/>
      <c r="B1448" s="104"/>
      <c r="C1448" s="104"/>
      <c r="D1448" s="104"/>
      <c r="E1448" s="104"/>
      <c r="F1448" s="105"/>
      <c r="G1448" s="105"/>
      <c r="H1448" s="106"/>
      <c r="I1448" s="106"/>
      <c r="J1448" s="106"/>
      <c r="K1448" s="94"/>
    </row>
    <row r="1449" spans="1:11" x14ac:dyDescent="0.25">
      <c r="A1449" s="92"/>
      <c r="B1449" s="104"/>
      <c r="C1449" s="104"/>
      <c r="D1449" s="104"/>
      <c r="E1449" s="104"/>
      <c r="F1449" s="105"/>
      <c r="G1449" s="105"/>
      <c r="H1449" s="106"/>
      <c r="I1449" s="106"/>
      <c r="J1449" s="106"/>
      <c r="K1449" s="94"/>
    </row>
    <row r="1450" spans="1:11" x14ac:dyDescent="0.25">
      <c r="A1450" s="92"/>
      <c r="B1450" s="104"/>
      <c r="C1450" s="104"/>
      <c r="D1450" s="104"/>
      <c r="E1450" s="104"/>
      <c r="F1450" s="105"/>
      <c r="G1450" s="105"/>
      <c r="H1450" s="106"/>
      <c r="I1450" s="106"/>
      <c r="J1450" s="106"/>
      <c r="K1450" s="94"/>
    </row>
    <row r="1451" spans="1:11" x14ac:dyDescent="0.25">
      <c r="A1451" s="92"/>
      <c r="B1451" s="104"/>
      <c r="C1451" s="104"/>
      <c r="D1451" s="104"/>
      <c r="E1451" s="104"/>
      <c r="F1451" s="105"/>
      <c r="G1451" s="105"/>
      <c r="H1451" s="106"/>
      <c r="I1451" s="106"/>
      <c r="J1451" s="106"/>
      <c r="K1451" s="94"/>
    </row>
    <row r="1452" spans="1:11" x14ac:dyDescent="0.25">
      <c r="A1452" s="92"/>
      <c r="B1452" s="104"/>
      <c r="C1452" s="104"/>
      <c r="D1452" s="104"/>
      <c r="E1452" s="104"/>
      <c r="F1452" s="105"/>
      <c r="G1452" s="105"/>
      <c r="H1452" s="106"/>
      <c r="I1452" s="106"/>
      <c r="J1452" s="106"/>
      <c r="K1452" s="94"/>
    </row>
    <row r="1453" spans="1:11" x14ac:dyDescent="0.25">
      <c r="A1453" s="92"/>
      <c r="B1453" s="104"/>
      <c r="C1453" s="104"/>
      <c r="D1453" s="104"/>
      <c r="E1453" s="104"/>
      <c r="F1453" s="105"/>
      <c r="G1453" s="105"/>
      <c r="H1453" s="106"/>
      <c r="I1453" s="106"/>
      <c r="J1453" s="106"/>
      <c r="K1453" s="94"/>
    </row>
    <row r="1454" spans="1:11" x14ac:dyDescent="0.25">
      <c r="A1454" s="92"/>
      <c r="B1454" s="104"/>
      <c r="C1454" s="104"/>
      <c r="D1454" s="104"/>
      <c r="E1454" s="104"/>
      <c r="F1454" s="105"/>
      <c r="G1454" s="105"/>
      <c r="H1454" s="106"/>
      <c r="I1454" s="106"/>
      <c r="J1454" s="106"/>
      <c r="K1454" s="94"/>
    </row>
    <row r="1455" spans="1:11" x14ac:dyDescent="0.25">
      <c r="A1455" s="92"/>
      <c r="B1455" s="104"/>
      <c r="C1455" s="104"/>
      <c r="D1455" s="104"/>
      <c r="E1455" s="104"/>
      <c r="F1455" s="105"/>
      <c r="G1455" s="105"/>
      <c r="H1455" s="106"/>
      <c r="I1455" s="106"/>
      <c r="J1455" s="106"/>
      <c r="K1455" s="94"/>
    </row>
    <row r="1456" spans="1:11" x14ac:dyDescent="0.25">
      <c r="A1456" s="92"/>
      <c r="B1456" s="104"/>
      <c r="C1456" s="104"/>
      <c r="D1456" s="104"/>
      <c r="E1456" s="104"/>
      <c r="F1456" s="105"/>
      <c r="G1456" s="105"/>
      <c r="H1456" s="106"/>
      <c r="I1456" s="106"/>
      <c r="J1456" s="106"/>
      <c r="K1456" s="94"/>
    </row>
    <row r="1457" spans="1:11" x14ac:dyDescent="0.25">
      <c r="A1457" s="92"/>
      <c r="B1457" s="104"/>
      <c r="C1457" s="104"/>
      <c r="D1457" s="104"/>
      <c r="E1457" s="104"/>
      <c r="F1457" s="105"/>
      <c r="G1457" s="105"/>
      <c r="H1457" s="106"/>
      <c r="I1457" s="106"/>
      <c r="J1457" s="106"/>
      <c r="K1457" s="94"/>
    </row>
    <row r="1458" spans="1:11" x14ac:dyDescent="0.25">
      <c r="A1458" s="92"/>
      <c r="B1458" s="104"/>
      <c r="C1458" s="104"/>
      <c r="D1458" s="104"/>
      <c r="E1458" s="104"/>
      <c r="F1458" s="105"/>
      <c r="G1458" s="105"/>
      <c r="H1458" s="106"/>
      <c r="I1458" s="106"/>
      <c r="J1458" s="106"/>
      <c r="K1458" s="94"/>
    </row>
    <row r="1459" spans="1:11" x14ac:dyDescent="0.25">
      <c r="A1459" s="92"/>
      <c r="B1459" s="104"/>
      <c r="C1459" s="104"/>
      <c r="D1459" s="104"/>
      <c r="E1459" s="104"/>
      <c r="F1459" s="105"/>
      <c r="G1459" s="105"/>
      <c r="H1459" s="106"/>
      <c r="I1459" s="106"/>
      <c r="J1459" s="106"/>
      <c r="K1459" s="94"/>
    </row>
    <row r="1460" spans="1:11" x14ac:dyDescent="0.25">
      <c r="A1460" s="92"/>
      <c r="B1460" s="104"/>
      <c r="C1460" s="104"/>
      <c r="D1460" s="104"/>
      <c r="E1460" s="104"/>
      <c r="F1460" s="105"/>
      <c r="G1460" s="105"/>
      <c r="H1460" s="106"/>
      <c r="I1460" s="106"/>
      <c r="J1460" s="106"/>
      <c r="K1460" s="94"/>
    </row>
    <row r="1461" spans="1:11" x14ac:dyDescent="0.25">
      <c r="A1461" s="92"/>
      <c r="B1461" s="104"/>
      <c r="C1461" s="104"/>
      <c r="D1461" s="104"/>
      <c r="E1461" s="104"/>
      <c r="F1461" s="105"/>
      <c r="G1461" s="105"/>
      <c r="H1461" s="106"/>
      <c r="I1461" s="106"/>
      <c r="J1461" s="106"/>
      <c r="K1461" s="94"/>
    </row>
    <row r="1462" spans="1:11" x14ac:dyDescent="0.25">
      <c r="A1462" s="92"/>
      <c r="B1462" s="104"/>
      <c r="C1462" s="104"/>
      <c r="D1462" s="104"/>
      <c r="E1462" s="104"/>
      <c r="F1462" s="105"/>
      <c r="G1462" s="105"/>
      <c r="H1462" s="106"/>
      <c r="I1462" s="106"/>
      <c r="J1462" s="106"/>
      <c r="K1462" s="94"/>
    </row>
    <row r="1463" spans="1:11" x14ac:dyDescent="0.25">
      <c r="A1463" s="92"/>
      <c r="B1463" s="104"/>
      <c r="C1463" s="104"/>
      <c r="D1463" s="104"/>
      <c r="E1463" s="104"/>
      <c r="F1463" s="105"/>
      <c r="G1463" s="105"/>
      <c r="H1463" s="106"/>
      <c r="I1463" s="106"/>
      <c r="J1463" s="106"/>
      <c r="K1463" s="94"/>
    </row>
    <row r="1464" spans="1:11" x14ac:dyDescent="0.25">
      <c r="A1464" s="92"/>
      <c r="B1464" s="104"/>
      <c r="C1464" s="104"/>
      <c r="D1464" s="104"/>
      <c r="E1464" s="104"/>
      <c r="F1464" s="105"/>
      <c r="G1464" s="105"/>
      <c r="H1464" s="106"/>
      <c r="I1464" s="106"/>
      <c r="J1464" s="106"/>
      <c r="K1464" s="94"/>
    </row>
    <row r="1465" spans="1:11" x14ac:dyDescent="0.25">
      <c r="A1465" s="92"/>
      <c r="B1465" s="104"/>
      <c r="C1465" s="104"/>
      <c r="D1465" s="104"/>
      <c r="E1465" s="104"/>
      <c r="F1465" s="105"/>
      <c r="G1465" s="105"/>
      <c r="H1465" s="106"/>
      <c r="I1465" s="106"/>
      <c r="J1465" s="106"/>
      <c r="K1465" s="94"/>
    </row>
    <row r="1466" spans="1:11" x14ac:dyDescent="0.25">
      <c r="A1466" s="92"/>
      <c r="B1466" s="104"/>
      <c r="C1466" s="104"/>
      <c r="D1466" s="104"/>
      <c r="E1466" s="104"/>
      <c r="F1466" s="105"/>
      <c r="G1466" s="105"/>
      <c r="H1466" s="106"/>
      <c r="I1466" s="106"/>
      <c r="J1466" s="106"/>
      <c r="K1466" s="94"/>
    </row>
    <row r="1467" spans="1:11" x14ac:dyDescent="0.25">
      <c r="A1467" s="92"/>
      <c r="B1467" s="104"/>
      <c r="C1467" s="104"/>
      <c r="D1467" s="104"/>
      <c r="E1467" s="104"/>
      <c r="F1467" s="105"/>
      <c r="G1467" s="105"/>
      <c r="H1467" s="106"/>
      <c r="I1467" s="106"/>
      <c r="J1467" s="106"/>
      <c r="K1467" s="94"/>
    </row>
    <row r="1468" spans="1:11" x14ac:dyDescent="0.25">
      <c r="A1468" s="92"/>
      <c r="B1468" s="104"/>
      <c r="C1468" s="104"/>
      <c r="D1468" s="104"/>
      <c r="E1468" s="104"/>
      <c r="F1468" s="105"/>
      <c r="G1468" s="105"/>
      <c r="H1468" s="106"/>
      <c r="I1468" s="106"/>
      <c r="J1468" s="106"/>
      <c r="K1468" s="94"/>
    </row>
    <row r="1469" spans="1:11" x14ac:dyDescent="0.25">
      <c r="A1469" s="92"/>
      <c r="B1469" s="104"/>
      <c r="C1469" s="104"/>
      <c r="D1469" s="104"/>
      <c r="E1469" s="104"/>
      <c r="F1469" s="105"/>
      <c r="G1469" s="105"/>
      <c r="H1469" s="106"/>
      <c r="I1469" s="106"/>
      <c r="J1469" s="106"/>
      <c r="K1469" s="94"/>
    </row>
    <row r="1470" spans="1:11" x14ac:dyDescent="0.25">
      <c r="A1470" s="92"/>
      <c r="B1470" s="104"/>
      <c r="C1470" s="104"/>
      <c r="D1470" s="104"/>
      <c r="E1470" s="104"/>
      <c r="F1470" s="105"/>
      <c r="G1470" s="105"/>
      <c r="H1470" s="106"/>
      <c r="I1470" s="106"/>
      <c r="J1470" s="106"/>
      <c r="K1470" s="94"/>
    </row>
    <row r="1471" spans="1:11" x14ac:dyDescent="0.25">
      <c r="A1471" s="92"/>
      <c r="B1471" s="104"/>
      <c r="C1471" s="104"/>
      <c r="D1471" s="104"/>
      <c r="E1471" s="104"/>
      <c r="F1471" s="105"/>
      <c r="G1471" s="105"/>
      <c r="H1471" s="106"/>
      <c r="I1471" s="106"/>
      <c r="J1471" s="106"/>
      <c r="K1471" s="94"/>
    </row>
    <row r="1472" spans="1:11" x14ac:dyDescent="0.25">
      <c r="A1472" s="92"/>
      <c r="B1472" s="104"/>
      <c r="C1472" s="104"/>
      <c r="D1472" s="104"/>
      <c r="E1472" s="104"/>
      <c r="F1472" s="105"/>
      <c r="G1472" s="105"/>
      <c r="H1472" s="106"/>
      <c r="I1472" s="106"/>
      <c r="J1472" s="106"/>
      <c r="K1472" s="94"/>
    </row>
    <row r="1473" spans="1:11" x14ac:dyDescent="0.25">
      <c r="A1473" s="92"/>
      <c r="B1473" s="104"/>
      <c r="C1473" s="104"/>
      <c r="D1473" s="104"/>
      <c r="E1473" s="104"/>
      <c r="F1473" s="105"/>
      <c r="G1473" s="105"/>
      <c r="H1473" s="106"/>
      <c r="I1473" s="106"/>
      <c r="J1473" s="106"/>
      <c r="K1473" s="94"/>
    </row>
    <row r="1474" spans="1:11" x14ac:dyDescent="0.25">
      <c r="A1474" s="92"/>
      <c r="B1474" s="104"/>
      <c r="C1474" s="104"/>
      <c r="D1474" s="104"/>
      <c r="E1474" s="104"/>
      <c r="F1474" s="105"/>
      <c r="G1474" s="105"/>
      <c r="H1474" s="106"/>
      <c r="I1474" s="106"/>
      <c r="J1474" s="106"/>
      <c r="K1474" s="94"/>
    </row>
    <row r="1475" spans="1:11" x14ac:dyDescent="0.25">
      <c r="A1475" s="92"/>
      <c r="B1475" s="104"/>
      <c r="C1475" s="104"/>
      <c r="D1475" s="104"/>
      <c r="E1475" s="104"/>
      <c r="F1475" s="105"/>
      <c r="G1475" s="105"/>
      <c r="H1475" s="106"/>
      <c r="I1475" s="106"/>
      <c r="J1475" s="106"/>
      <c r="K1475" s="94"/>
    </row>
    <row r="1476" spans="1:11" x14ac:dyDescent="0.25">
      <c r="A1476" s="92"/>
      <c r="B1476" s="104"/>
      <c r="C1476" s="104"/>
      <c r="D1476" s="104"/>
      <c r="E1476" s="104"/>
      <c r="F1476" s="105"/>
      <c r="G1476" s="105"/>
      <c r="H1476" s="106"/>
      <c r="I1476" s="106"/>
      <c r="J1476" s="106"/>
      <c r="K1476" s="94"/>
    </row>
    <row r="1477" spans="1:11" x14ac:dyDescent="0.25">
      <c r="A1477" s="92"/>
      <c r="B1477" s="104"/>
      <c r="C1477" s="104"/>
      <c r="D1477" s="104"/>
      <c r="E1477" s="104"/>
      <c r="F1477" s="105"/>
      <c r="G1477" s="105"/>
      <c r="H1477" s="106"/>
      <c r="I1477" s="106"/>
      <c r="J1477" s="106"/>
      <c r="K1477" s="94"/>
    </row>
    <row r="1478" spans="1:11" x14ac:dyDescent="0.25">
      <c r="A1478" s="92"/>
      <c r="B1478" s="104"/>
      <c r="C1478" s="104"/>
      <c r="D1478" s="104"/>
      <c r="E1478" s="104"/>
      <c r="F1478" s="105"/>
      <c r="G1478" s="105"/>
      <c r="H1478" s="106"/>
      <c r="I1478" s="106"/>
      <c r="J1478" s="106"/>
      <c r="K1478" s="94"/>
    </row>
    <row r="1479" spans="1:11" x14ac:dyDescent="0.25">
      <c r="A1479" s="92"/>
      <c r="B1479" s="104"/>
      <c r="C1479" s="104"/>
      <c r="D1479" s="104"/>
      <c r="E1479" s="104"/>
      <c r="F1479" s="105"/>
      <c r="G1479" s="105"/>
      <c r="H1479" s="106"/>
      <c r="I1479" s="106"/>
      <c r="J1479" s="106"/>
      <c r="K1479" s="94"/>
    </row>
    <row r="1480" spans="1:11" x14ac:dyDescent="0.25">
      <c r="A1480" s="92"/>
      <c r="B1480" s="104"/>
      <c r="C1480" s="104"/>
      <c r="D1480" s="104"/>
      <c r="E1480" s="104"/>
      <c r="F1480" s="105"/>
      <c r="G1480" s="105"/>
      <c r="H1480" s="106"/>
      <c r="I1480" s="106"/>
      <c r="J1480" s="106"/>
      <c r="K1480" s="94"/>
    </row>
    <row r="1481" spans="1:11" x14ac:dyDescent="0.25">
      <c r="A1481" s="92"/>
      <c r="B1481" s="104"/>
      <c r="C1481" s="104"/>
      <c r="D1481" s="104"/>
      <c r="E1481" s="104"/>
      <c r="F1481" s="105"/>
      <c r="G1481" s="105"/>
      <c r="H1481" s="106"/>
      <c r="I1481" s="106"/>
      <c r="J1481" s="106"/>
      <c r="K1481" s="94"/>
    </row>
    <row r="1482" spans="1:11" x14ac:dyDescent="0.25">
      <c r="A1482" s="92"/>
      <c r="B1482" s="104"/>
      <c r="C1482" s="104"/>
      <c r="D1482" s="104"/>
      <c r="E1482" s="104"/>
      <c r="F1482" s="105"/>
      <c r="G1482" s="105"/>
      <c r="H1482" s="106"/>
      <c r="I1482" s="106"/>
      <c r="J1482" s="106"/>
      <c r="K1482" s="94"/>
    </row>
    <row r="1483" spans="1:11" x14ac:dyDescent="0.25">
      <c r="A1483" s="92"/>
      <c r="B1483" s="104"/>
      <c r="C1483" s="104"/>
      <c r="D1483" s="104"/>
      <c r="E1483" s="104"/>
      <c r="F1483" s="105"/>
      <c r="G1483" s="105"/>
      <c r="H1483" s="106"/>
      <c r="I1483" s="106"/>
      <c r="J1483" s="106"/>
      <c r="K1483" s="94"/>
    </row>
    <row r="1484" spans="1:11" x14ac:dyDescent="0.25">
      <c r="A1484" s="92"/>
      <c r="B1484" s="104"/>
      <c r="C1484" s="104"/>
      <c r="D1484" s="104"/>
      <c r="E1484" s="104"/>
      <c r="F1484" s="105"/>
      <c r="G1484" s="105"/>
      <c r="H1484" s="106"/>
      <c r="I1484" s="106"/>
      <c r="J1484" s="106"/>
      <c r="K1484" s="94"/>
    </row>
    <row r="1485" spans="1:11" x14ac:dyDescent="0.25">
      <c r="A1485" s="92"/>
      <c r="B1485" s="104"/>
      <c r="C1485" s="104"/>
      <c r="D1485" s="104"/>
      <c r="E1485" s="104"/>
      <c r="F1485" s="105"/>
      <c r="G1485" s="105"/>
      <c r="H1485" s="106"/>
      <c r="I1485" s="106"/>
      <c r="J1485" s="106"/>
      <c r="K1485" s="94"/>
    </row>
    <row r="1486" spans="1:11" x14ac:dyDescent="0.25">
      <c r="A1486" s="92"/>
      <c r="B1486" s="104"/>
      <c r="C1486" s="104"/>
      <c r="D1486" s="104"/>
      <c r="E1486" s="104"/>
      <c r="F1486" s="105"/>
      <c r="G1486" s="105"/>
      <c r="H1486" s="106"/>
      <c r="I1486" s="106"/>
      <c r="J1486" s="106"/>
      <c r="K1486" s="94"/>
    </row>
    <row r="1487" spans="1:11" x14ac:dyDescent="0.25">
      <c r="A1487" s="92"/>
      <c r="B1487" s="104"/>
      <c r="C1487" s="104"/>
      <c r="D1487" s="104"/>
      <c r="E1487" s="104"/>
      <c r="F1487" s="105"/>
      <c r="G1487" s="105"/>
      <c r="H1487" s="106"/>
      <c r="I1487" s="106"/>
      <c r="J1487" s="106"/>
      <c r="K1487" s="94"/>
    </row>
    <row r="1488" spans="1:11" x14ac:dyDescent="0.25">
      <c r="A1488" s="92"/>
      <c r="B1488" s="104"/>
      <c r="C1488" s="104"/>
      <c r="D1488" s="104"/>
      <c r="E1488" s="104"/>
      <c r="F1488" s="105"/>
      <c r="G1488" s="105"/>
      <c r="H1488" s="106"/>
      <c r="I1488" s="106"/>
      <c r="J1488" s="106"/>
      <c r="K1488" s="94"/>
    </row>
    <row r="1489" spans="1:11" x14ac:dyDescent="0.25">
      <c r="A1489" s="92"/>
      <c r="B1489" s="104"/>
      <c r="C1489" s="104"/>
      <c r="D1489" s="104"/>
      <c r="E1489" s="104"/>
      <c r="F1489" s="105"/>
      <c r="G1489" s="105"/>
      <c r="H1489" s="106"/>
      <c r="I1489" s="106"/>
      <c r="J1489" s="106"/>
      <c r="K1489" s="94"/>
    </row>
    <row r="1490" spans="1:11" x14ac:dyDescent="0.25">
      <c r="A1490" s="92"/>
      <c r="B1490" s="104"/>
      <c r="C1490" s="104"/>
      <c r="D1490" s="104"/>
      <c r="E1490" s="104"/>
      <c r="F1490" s="105"/>
      <c r="G1490" s="105"/>
      <c r="H1490" s="106"/>
      <c r="I1490" s="106"/>
      <c r="J1490" s="106"/>
      <c r="K1490" s="94"/>
    </row>
    <row r="1491" spans="1:11" x14ac:dyDescent="0.25">
      <c r="A1491" s="92"/>
      <c r="B1491" s="104"/>
      <c r="C1491" s="104"/>
      <c r="D1491" s="104"/>
      <c r="E1491" s="104"/>
      <c r="F1491" s="105"/>
      <c r="G1491" s="105"/>
      <c r="H1491" s="106"/>
      <c r="I1491" s="106"/>
      <c r="J1491" s="106"/>
      <c r="K1491" s="94"/>
    </row>
    <row r="1492" spans="1:11" x14ac:dyDescent="0.25">
      <c r="A1492" s="92"/>
      <c r="B1492" s="104"/>
      <c r="C1492" s="104"/>
      <c r="D1492" s="104"/>
      <c r="E1492" s="104"/>
      <c r="F1492" s="105"/>
      <c r="G1492" s="105"/>
      <c r="H1492" s="106"/>
      <c r="I1492" s="106"/>
      <c r="J1492" s="106"/>
      <c r="K1492" s="94"/>
    </row>
    <row r="1493" spans="1:11" x14ac:dyDescent="0.25">
      <c r="A1493" s="92"/>
      <c r="B1493" s="104"/>
      <c r="C1493" s="104"/>
      <c r="D1493" s="104"/>
      <c r="E1493" s="104"/>
      <c r="F1493" s="105"/>
      <c r="G1493" s="105"/>
      <c r="H1493" s="106"/>
      <c r="I1493" s="106"/>
      <c r="J1493" s="106"/>
      <c r="K1493" s="94"/>
    </row>
    <row r="1494" spans="1:11" x14ac:dyDescent="0.25">
      <c r="A1494" s="92"/>
      <c r="B1494" s="104"/>
      <c r="C1494" s="104"/>
      <c r="D1494" s="104"/>
      <c r="E1494" s="104"/>
      <c r="F1494" s="105"/>
      <c r="G1494" s="105"/>
      <c r="H1494" s="106"/>
      <c r="I1494" s="106"/>
      <c r="J1494" s="106"/>
      <c r="K1494" s="94"/>
    </row>
    <row r="1495" spans="1:11" x14ac:dyDescent="0.25">
      <c r="A1495" s="92"/>
      <c r="B1495" s="104"/>
      <c r="C1495" s="104"/>
      <c r="D1495" s="104"/>
      <c r="E1495" s="104"/>
      <c r="F1495" s="105"/>
      <c r="G1495" s="105"/>
      <c r="H1495" s="106"/>
      <c r="I1495" s="106"/>
      <c r="J1495" s="106"/>
      <c r="K1495" s="94"/>
    </row>
    <row r="1496" spans="1:11" x14ac:dyDescent="0.25">
      <c r="A1496" s="92"/>
      <c r="B1496" s="104"/>
      <c r="C1496" s="104"/>
      <c r="D1496" s="104"/>
      <c r="E1496" s="104"/>
      <c r="F1496" s="105"/>
      <c r="G1496" s="105"/>
      <c r="H1496" s="106"/>
      <c r="I1496" s="106"/>
      <c r="J1496" s="106"/>
      <c r="K1496" s="94"/>
    </row>
    <row r="1497" spans="1:11" x14ac:dyDescent="0.25">
      <c r="A1497" s="92"/>
      <c r="B1497" s="104"/>
      <c r="C1497" s="104"/>
      <c r="D1497" s="104"/>
      <c r="E1497" s="104"/>
      <c r="F1497" s="105"/>
      <c r="G1497" s="105"/>
      <c r="H1497" s="106"/>
      <c r="I1497" s="106"/>
      <c r="J1497" s="106"/>
      <c r="K1497" s="94"/>
    </row>
    <row r="1498" spans="1:11" x14ac:dyDescent="0.25">
      <c r="A1498" s="92"/>
      <c r="B1498" s="104"/>
      <c r="C1498" s="104"/>
      <c r="D1498" s="104"/>
      <c r="E1498" s="104"/>
      <c r="F1498" s="105"/>
      <c r="G1498" s="105"/>
      <c r="H1498" s="106"/>
      <c r="I1498" s="106"/>
      <c r="J1498" s="106"/>
      <c r="K1498" s="94"/>
    </row>
    <row r="1499" spans="1:11" x14ac:dyDescent="0.25">
      <c r="A1499" s="92"/>
      <c r="B1499" s="104"/>
      <c r="C1499" s="104"/>
      <c r="D1499" s="104"/>
      <c r="E1499" s="104"/>
      <c r="F1499" s="105"/>
      <c r="G1499" s="105"/>
      <c r="H1499" s="106"/>
      <c r="I1499" s="106"/>
      <c r="J1499" s="106"/>
      <c r="K1499" s="94"/>
    </row>
    <row r="1500" spans="1:11" x14ac:dyDescent="0.25">
      <c r="A1500" s="92"/>
      <c r="B1500" s="104"/>
      <c r="C1500" s="104"/>
      <c r="D1500" s="104"/>
      <c r="E1500" s="104"/>
      <c r="F1500" s="105"/>
      <c r="G1500" s="105"/>
      <c r="H1500" s="106"/>
      <c r="I1500" s="106"/>
      <c r="J1500" s="106"/>
      <c r="K1500" s="94"/>
    </row>
    <row r="1501" spans="1:11" x14ac:dyDescent="0.25">
      <c r="A1501" s="92"/>
      <c r="B1501" s="104"/>
      <c r="C1501" s="104"/>
      <c r="D1501" s="104"/>
      <c r="E1501" s="104"/>
      <c r="F1501" s="105"/>
      <c r="G1501" s="105"/>
      <c r="H1501" s="106"/>
      <c r="I1501" s="106"/>
      <c r="J1501" s="106"/>
      <c r="K1501" s="94"/>
    </row>
    <row r="1502" spans="1:11" x14ac:dyDescent="0.25">
      <c r="A1502" s="92"/>
      <c r="B1502" s="104"/>
      <c r="C1502" s="104"/>
      <c r="D1502" s="104"/>
      <c r="E1502" s="104"/>
      <c r="F1502" s="105"/>
      <c r="G1502" s="105"/>
      <c r="H1502" s="106"/>
      <c r="I1502" s="106"/>
      <c r="J1502" s="106"/>
      <c r="K1502" s="94"/>
    </row>
    <row r="1503" spans="1:11" x14ac:dyDescent="0.25">
      <c r="A1503" s="92"/>
      <c r="B1503" s="104"/>
      <c r="C1503" s="104"/>
      <c r="D1503" s="104"/>
      <c r="E1503" s="104"/>
      <c r="F1503" s="105"/>
      <c r="G1503" s="105"/>
      <c r="H1503" s="106"/>
      <c r="I1503" s="106"/>
      <c r="J1503" s="106"/>
      <c r="K1503" s="94"/>
    </row>
    <row r="1504" spans="1:11" x14ac:dyDescent="0.25">
      <c r="A1504" s="92"/>
      <c r="B1504" s="104"/>
      <c r="C1504" s="104"/>
      <c r="D1504" s="104"/>
      <c r="E1504" s="104"/>
      <c r="F1504" s="105"/>
      <c r="G1504" s="105"/>
      <c r="H1504" s="106"/>
      <c r="I1504" s="106"/>
      <c r="J1504" s="106"/>
      <c r="K1504" s="94"/>
    </row>
    <row r="1505" spans="1:11" x14ac:dyDescent="0.25">
      <c r="A1505" s="92"/>
      <c r="B1505" s="104"/>
      <c r="C1505" s="104"/>
      <c r="D1505" s="104"/>
      <c r="E1505" s="104"/>
      <c r="F1505" s="105"/>
      <c r="G1505" s="105"/>
      <c r="H1505" s="106"/>
      <c r="I1505" s="106"/>
      <c r="J1505" s="106"/>
      <c r="K1505" s="94"/>
    </row>
    <row r="1506" spans="1:11" x14ac:dyDescent="0.25">
      <c r="A1506" s="92"/>
      <c r="B1506" s="104"/>
      <c r="C1506" s="104"/>
      <c r="D1506" s="104"/>
      <c r="E1506" s="104"/>
      <c r="F1506" s="105"/>
      <c r="G1506" s="105"/>
      <c r="H1506" s="106"/>
      <c r="I1506" s="106"/>
      <c r="J1506" s="106"/>
      <c r="K1506" s="94"/>
    </row>
    <row r="1507" spans="1:11" x14ac:dyDescent="0.25">
      <c r="A1507" s="92"/>
      <c r="B1507" s="104"/>
      <c r="C1507" s="104"/>
      <c r="D1507" s="104"/>
      <c r="E1507" s="104"/>
      <c r="F1507" s="105"/>
      <c r="G1507" s="105"/>
      <c r="H1507" s="106"/>
      <c r="I1507" s="106"/>
      <c r="J1507" s="106"/>
      <c r="K1507" s="94"/>
    </row>
    <row r="1508" spans="1:11" x14ac:dyDescent="0.25">
      <c r="A1508" s="92"/>
      <c r="B1508" s="104"/>
      <c r="C1508" s="104"/>
      <c r="D1508" s="104"/>
      <c r="E1508" s="104"/>
      <c r="F1508" s="105"/>
      <c r="G1508" s="105"/>
      <c r="H1508" s="106"/>
      <c r="I1508" s="106"/>
      <c r="J1508" s="106"/>
      <c r="K1508" s="94"/>
    </row>
    <row r="1509" spans="1:11" x14ac:dyDescent="0.25">
      <c r="A1509" s="92"/>
      <c r="B1509" s="104"/>
      <c r="C1509" s="104"/>
      <c r="D1509" s="104"/>
      <c r="E1509" s="104"/>
      <c r="F1509" s="105"/>
      <c r="G1509" s="105"/>
      <c r="H1509" s="106"/>
      <c r="I1509" s="106"/>
      <c r="J1509" s="106"/>
      <c r="K1509" s="94"/>
    </row>
    <row r="1510" spans="1:11" x14ac:dyDescent="0.25">
      <c r="A1510" s="92"/>
      <c r="B1510" s="104"/>
      <c r="C1510" s="104"/>
      <c r="D1510" s="104"/>
      <c r="E1510" s="104"/>
      <c r="F1510" s="105"/>
      <c r="G1510" s="105"/>
      <c r="H1510" s="106"/>
      <c r="I1510" s="106"/>
      <c r="J1510" s="106"/>
      <c r="K1510" s="94"/>
    </row>
    <row r="1511" spans="1:11" x14ac:dyDescent="0.25">
      <c r="A1511" s="92"/>
      <c r="B1511" s="104"/>
      <c r="C1511" s="104"/>
      <c r="D1511" s="104"/>
      <c r="E1511" s="104"/>
      <c r="F1511" s="105"/>
      <c r="G1511" s="105"/>
      <c r="H1511" s="106"/>
      <c r="I1511" s="106"/>
      <c r="J1511" s="106"/>
      <c r="K1511" s="94"/>
    </row>
    <row r="1512" spans="1:11" x14ac:dyDescent="0.25">
      <c r="A1512" s="92"/>
      <c r="B1512" s="104"/>
      <c r="C1512" s="104"/>
      <c r="D1512" s="104"/>
      <c r="E1512" s="104"/>
      <c r="F1512" s="105"/>
      <c r="G1512" s="105"/>
      <c r="H1512" s="106"/>
      <c r="I1512" s="106"/>
      <c r="J1512" s="106"/>
      <c r="K1512" s="94"/>
    </row>
    <row r="1513" spans="1:11" x14ac:dyDescent="0.25">
      <c r="A1513" s="92"/>
      <c r="B1513" s="104"/>
      <c r="C1513" s="104"/>
      <c r="D1513" s="104"/>
      <c r="E1513" s="104"/>
      <c r="F1513" s="105"/>
      <c r="G1513" s="105"/>
      <c r="H1513" s="106"/>
      <c r="I1513" s="106"/>
      <c r="J1513" s="106"/>
      <c r="K1513" s="94"/>
    </row>
    <row r="1514" spans="1:11" x14ac:dyDescent="0.25">
      <c r="A1514" s="92"/>
      <c r="B1514" s="104"/>
      <c r="C1514" s="104"/>
      <c r="D1514" s="104"/>
      <c r="E1514" s="104"/>
      <c r="F1514" s="105"/>
      <c r="G1514" s="105"/>
      <c r="H1514" s="106"/>
      <c r="I1514" s="106"/>
      <c r="J1514" s="106"/>
      <c r="K1514" s="94"/>
    </row>
    <row r="1515" spans="1:11" x14ac:dyDescent="0.25">
      <c r="B1515" s="104"/>
      <c r="C1515" s="104"/>
      <c r="D1515" s="104"/>
      <c r="E1515" s="104"/>
      <c r="F1515" s="105"/>
      <c r="G1515" s="105"/>
      <c r="H1515" s="106"/>
      <c r="I1515" s="106"/>
      <c r="J1515" s="106"/>
      <c r="K1515" s="94"/>
    </row>
    <row r="1516" spans="1:11" x14ac:dyDescent="0.25">
      <c r="B1516" s="127"/>
      <c r="C1516" s="96"/>
      <c r="D1516" s="127"/>
      <c r="E1516" s="127"/>
      <c r="F1516" s="98"/>
      <c r="G1516" s="98"/>
      <c r="H1516" s="127"/>
      <c r="K1516" s="94"/>
    </row>
    <row r="1517" spans="1:11" x14ac:dyDescent="0.25">
      <c r="B1517" s="127"/>
      <c r="C1517" s="96"/>
      <c r="D1517" s="127"/>
      <c r="E1517" s="127"/>
      <c r="F1517" s="98"/>
      <c r="G1517" s="98"/>
      <c r="H1517" s="127"/>
      <c r="K1517" s="94"/>
    </row>
    <row r="1518" spans="1:11" x14ac:dyDescent="0.25">
      <c r="B1518" s="127"/>
      <c r="C1518" s="96"/>
      <c r="D1518" s="127"/>
      <c r="E1518" s="127"/>
      <c r="F1518" s="98"/>
      <c r="G1518" s="98"/>
      <c r="H1518" s="127"/>
      <c r="K1518" s="94"/>
    </row>
    <row r="1519" spans="1:11" x14ac:dyDescent="0.25">
      <c r="B1519" s="127"/>
      <c r="C1519" s="96"/>
      <c r="D1519" s="127"/>
      <c r="E1519" s="127"/>
      <c r="F1519" s="98"/>
      <c r="G1519" s="98"/>
      <c r="H1519" s="127"/>
      <c r="K1519" s="94"/>
    </row>
    <row r="1520" spans="1:11" x14ac:dyDescent="0.25">
      <c r="B1520" s="127"/>
      <c r="C1520" s="96"/>
      <c r="D1520" s="127"/>
      <c r="E1520" s="127"/>
      <c r="F1520" s="98"/>
      <c r="G1520" s="98"/>
      <c r="H1520" s="127"/>
      <c r="K1520" s="94"/>
    </row>
    <row r="1521" spans="2:11" x14ac:dyDescent="0.25">
      <c r="B1521" s="127"/>
      <c r="C1521" s="96"/>
      <c r="D1521" s="127"/>
      <c r="E1521" s="127"/>
      <c r="F1521" s="98"/>
      <c r="G1521" s="98"/>
      <c r="H1521" s="127"/>
      <c r="K1521" s="94"/>
    </row>
    <row r="1522" spans="2:11" x14ac:dyDescent="0.25">
      <c r="B1522" s="127"/>
      <c r="C1522" s="96"/>
      <c r="D1522" s="127"/>
      <c r="E1522" s="127"/>
      <c r="F1522" s="98"/>
      <c r="G1522" s="98"/>
      <c r="H1522" s="127"/>
      <c r="K1522" s="94"/>
    </row>
    <row r="1523" spans="2:11" x14ac:dyDescent="0.25">
      <c r="B1523" s="127"/>
      <c r="C1523" s="96"/>
      <c r="D1523" s="127"/>
      <c r="E1523" s="127"/>
      <c r="F1523" s="98"/>
      <c r="G1523" s="98"/>
      <c r="H1523" s="127"/>
      <c r="K1523" s="94"/>
    </row>
    <row r="1524" spans="2:11" x14ac:dyDescent="0.25">
      <c r="B1524" s="127"/>
      <c r="C1524" s="96"/>
      <c r="D1524" s="127"/>
      <c r="E1524" s="127"/>
      <c r="F1524" s="98"/>
      <c r="G1524" s="98"/>
      <c r="H1524" s="127"/>
      <c r="K1524" s="94"/>
    </row>
    <row r="1525" spans="2:11" x14ac:dyDescent="0.25">
      <c r="B1525" s="127"/>
      <c r="C1525" s="96"/>
      <c r="D1525" s="127"/>
      <c r="E1525" s="127"/>
      <c r="F1525" s="98"/>
      <c r="G1525" s="98"/>
      <c r="H1525" s="127"/>
      <c r="K1525" s="94"/>
    </row>
    <row r="1526" spans="2:11" x14ac:dyDescent="0.25">
      <c r="B1526" s="127"/>
      <c r="C1526" s="96"/>
      <c r="D1526" s="127"/>
      <c r="E1526" s="127"/>
      <c r="F1526" s="98"/>
      <c r="G1526" s="98"/>
      <c r="H1526" s="127"/>
      <c r="K1526" s="94"/>
    </row>
    <row r="1527" spans="2:11" x14ac:dyDescent="0.25">
      <c r="B1527" s="127"/>
      <c r="C1527" s="96"/>
      <c r="D1527" s="127"/>
      <c r="E1527" s="127"/>
      <c r="F1527" s="98"/>
      <c r="G1527" s="98"/>
      <c r="H1527" s="127"/>
      <c r="K1527" s="94"/>
    </row>
    <row r="1528" spans="2:11" x14ac:dyDescent="0.25">
      <c r="B1528" s="127"/>
      <c r="C1528" s="96"/>
      <c r="D1528" s="127"/>
      <c r="E1528" s="127"/>
      <c r="F1528" s="98"/>
      <c r="G1528" s="98"/>
      <c r="H1528" s="127"/>
      <c r="K1528" s="94"/>
    </row>
    <row r="1529" spans="2:11" x14ac:dyDescent="0.25">
      <c r="B1529" s="127"/>
      <c r="C1529" s="96"/>
      <c r="D1529" s="127"/>
      <c r="E1529" s="127"/>
      <c r="F1529" s="98"/>
      <c r="G1529" s="98"/>
      <c r="H1529" s="127"/>
      <c r="K1529" s="94"/>
    </row>
    <row r="1530" spans="2:11" x14ac:dyDescent="0.25">
      <c r="B1530" s="127"/>
      <c r="C1530" s="96"/>
      <c r="D1530" s="127"/>
      <c r="E1530" s="127"/>
      <c r="F1530" s="98"/>
      <c r="G1530" s="98"/>
      <c r="H1530" s="127"/>
      <c r="K1530" s="94"/>
    </row>
    <row r="1531" spans="2:11" x14ac:dyDescent="0.25">
      <c r="B1531" s="127"/>
      <c r="C1531" s="96"/>
      <c r="D1531" s="127"/>
      <c r="E1531" s="127"/>
      <c r="F1531" s="98"/>
      <c r="G1531" s="98"/>
      <c r="H1531" s="127"/>
      <c r="K1531" s="94"/>
    </row>
    <row r="1532" spans="2:11" x14ac:dyDescent="0.25">
      <c r="B1532" s="127"/>
      <c r="C1532" s="96"/>
      <c r="D1532" s="127"/>
      <c r="E1532" s="127"/>
      <c r="F1532" s="98"/>
      <c r="G1532" s="98"/>
      <c r="H1532" s="127"/>
      <c r="K1532" s="94"/>
    </row>
    <row r="1533" spans="2:11" x14ac:dyDescent="0.25">
      <c r="B1533" s="127"/>
      <c r="C1533" s="96"/>
      <c r="D1533" s="127"/>
      <c r="E1533" s="127"/>
      <c r="F1533" s="98"/>
      <c r="G1533" s="98"/>
      <c r="H1533" s="127"/>
      <c r="K1533" s="94"/>
    </row>
    <row r="1534" spans="2:11" x14ac:dyDescent="0.25">
      <c r="B1534" s="127"/>
      <c r="C1534" s="96"/>
      <c r="D1534" s="127"/>
      <c r="E1534" s="127"/>
      <c r="F1534" s="98"/>
      <c r="G1534" s="98"/>
      <c r="H1534" s="127"/>
      <c r="K1534" s="94"/>
    </row>
    <row r="1535" spans="2:11" x14ac:dyDescent="0.25">
      <c r="B1535" s="127"/>
      <c r="C1535" s="96"/>
      <c r="D1535" s="127"/>
      <c r="E1535" s="127"/>
      <c r="F1535" s="98"/>
      <c r="G1535" s="98"/>
      <c r="H1535" s="127"/>
      <c r="K1535" s="94"/>
    </row>
  </sheetData>
  <sheetProtection insertRows="0" deleteRows="0" sort="0"/>
  <mergeCells count="31">
    <mergeCell ref="K7:K8"/>
    <mergeCell ref="C1:I1"/>
    <mergeCell ref="A7:A8"/>
    <mergeCell ref="B7:B8"/>
    <mergeCell ref="C7:C8"/>
    <mergeCell ref="D7:D8"/>
    <mergeCell ref="E7:E8"/>
    <mergeCell ref="F7:F8"/>
    <mergeCell ref="G7:G8"/>
    <mergeCell ref="H7:J7"/>
    <mergeCell ref="D1121:D1122"/>
    <mergeCell ref="D1123:D1124"/>
    <mergeCell ref="D1105:D1106"/>
    <mergeCell ref="D1070:D1071"/>
    <mergeCell ref="D1072:D1073"/>
    <mergeCell ref="D1074:D1075"/>
    <mergeCell ref="D1084:D1085"/>
    <mergeCell ref="D1087:D1088"/>
    <mergeCell ref="D1089:D1090"/>
    <mergeCell ref="D1091:D1092"/>
    <mergeCell ref="D1094:D1095"/>
    <mergeCell ref="D1096:D1097"/>
    <mergeCell ref="D1099:D1100"/>
    <mergeCell ref="D1103:D1104"/>
    <mergeCell ref="D1114:D1115"/>
    <mergeCell ref="D1116:D1117"/>
    <mergeCell ref="D1119:D1120"/>
    <mergeCell ref="D1068:D1069"/>
    <mergeCell ref="D1062:D1063"/>
    <mergeCell ref="D1064:D1065"/>
    <mergeCell ref="D1066:D1067"/>
  </mergeCells>
  <conditionalFormatting sqref="K11:K1535">
    <cfRule type="expression" dxfId="38" priority="3">
      <formula>$H11+$J11&lt;&gt;$K11</formula>
    </cfRule>
  </conditionalFormatting>
  <conditionalFormatting sqref="K10">
    <cfRule type="expression" dxfId="37" priority="1">
      <formula>$H10+$J10&lt;&gt;$K10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opLeftCell="A103" zoomScaleNormal="100" zoomScaleSheetLayoutView="80" workbookViewId="0">
      <selection activeCell="J95" sqref="J95"/>
    </sheetView>
  </sheetViews>
  <sheetFormatPr defaultColWidth="9.140625" defaultRowHeight="15" x14ac:dyDescent="0.25"/>
  <cols>
    <col min="1" max="1" width="7.140625" style="80" customWidth="1"/>
    <col min="2" max="2" width="23.85546875" style="80" customWidth="1"/>
    <col min="3" max="3" width="12.85546875" style="80" customWidth="1"/>
    <col min="4" max="4" width="34.140625" style="80" customWidth="1"/>
    <col min="5" max="5" width="21.85546875" style="80" customWidth="1"/>
    <col min="6" max="6" width="10.140625" style="80" customWidth="1"/>
    <col min="7" max="7" width="10.42578125" style="80" customWidth="1"/>
    <col min="8" max="8" width="12.140625" style="80" customWidth="1"/>
    <col min="9" max="9" width="15.5703125" style="80" customWidth="1"/>
    <col min="10" max="10" width="12.140625" style="80" customWidth="1"/>
    <col min="11" max="11" width="15.5703125" style="100" customWidth="1"/>
    <col min="12" max="16384" width="9.140625" style="80"/>
  </cols>
  <sheetData>
    <row r="1" spans="1:11" s="4" customFormat="1" ht="28.9" customHeight="1" x14ac:dyDescent="0.25">
      <c r="B1" s="5"/>
      <c r="C1" s="180" t="s">
        <v>3296</v>
      </c>
      <c r="D1" s="180"/>
      <c r="E1" s="180"/>
      <c r="F1" s="180"/>
      <c r="G1" s="180"/>
      <c r="H1" s="180"/>
      <c r="I1" s="180"/>
      <c r="J1" s="5"/>
    </row>
    <row r="2" spans="1:11" s="4" customFormat="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s="4" customFormat="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s="4" customFormat="1" x14ac:dyDescent="0.25">
      <c r="C4" s="152"/>
      <c r="D4" s="152"/>
      <c r="E4" s="152"/>
      <c r="F4" s="152"/>
      <c r="G4" s="152"/>
      <c r="H4" s="152"/>
      <c r="I4" s="152"/>
      <c r="K4" s="153" t="s">
        <v>3292</v>
      </c>
    </row>
    <row r="5" spans="1:11" s="4" customFormat="1" x14ac:dyDescent="0.25">
      <c r="K5" s="153" t="s">
        <v>3194</v>
      </c>
    </row>
    <row r="7" spans="1:11" s="74" customFormat="1" ht="41.25" customHeight="1" x14ac:dyDescent="0.25">
      <c r="A7" s="171" t="s">
        <v>15</v>
      </c>
      <c r="B7" s="171" t="s">
        <v>0</v>
      </c>
      <c r="C7" s="171" t="s">
        <v>13</v>
      </c>
      <c r="D7" s="171" t="s">
        <v>1</v>
      </c>
      <c r="E7" s="171" t="s">
        <v>6</v>
      </c>
      <c r="F7" s="171" t="s">
        <v>14</v>
      </c>
      <c r="G7" s="171" t="s">
        <v>958</v>
      </c>
      <c r="H7" s="173" t="s">
        <v>16</v>
      </c>
      <c r="I7" s="173"/>
      <c r="J7" s="172"/>
      <c r="K7" s="175" t="s">
        <v>5</v>
      </c>
    </row>
    <row r="8" spans="1:11" s="74" customFormat="1" ht="60" customHeight="1" x14ac:dyDescent="0.25">
      <c r="A8" s="172"/>
      <c r="B8" s="172"/>
      <c r="C8" s="172"/>
      <c r="D8" s="172"/>
      <c r="E8" s="172"/>
      <c r="F8" s="172"/>
      <c r="G8" s="171"/>
      <c r="H8" s="65" t="s">
        <v>3</v>
      </c>
      <c r="I8" s="65" t="s">
        <v>24</v>
      </c>
      <c r="J8" s="67" t="s">
        <v>4</v>
      </c>
      <c r="K8" s="176"/>
    </row>
    <row r="9" spans="1:11" s="74" customFormat="1" ht="21.75" customHeight="1" x14ac:dyDescent="0.25">
      <c r="A9" s="131">
        <v>1</v>
      </c>
      <c r="B9" s="131">
        <v>2</v>
      </c>
      <c r="C9" s="131">
        <v>3</v>
      </c>
      <c r="D9" s="131">
        <v>4</v>
      </c>
      <c r="E9" s="131">
        <v>5</v>
      </c>
      <c r="F9" s="132">
        <v>6</v>
      </c>
      <c r="G9" s="132">
        <v>7</v>
      </c>
      <c r="H9" s="132">
        <v>8</v>
      </c>
      <c r="I9" s="131">
        <v>9</v>
      </c>
      <c r="J9" s="131">
        <v>10</v>
      </c>
      <c r="K9" s="128">
        <v>11</v>
      </c>
    </row>
    <row r="10" spans="1:11" s="74" customFormat="1" ht="29.25" customHeight="1" x14ac:dyDescent="0.25">
      <c r="A10" s="133" t="s">
        <v>2</v>
      </c>
      <c r="B10" s="134"/>
      <c r="C10" s="134"/>
      <c r="D10" s="134"/>
      <c r="E10" s="134"/>
      <c r="F10" s="135"/>
      <c r="G10" s="135"/>
      <c r="H10" s="36">
        <f>SUM(H11:H107)</f>
        <v>56.740700000000004</v>
      </c>
      <c r="I10" s="36">
        <f>SUM(I11:I107)</f>
        <v>22.438699999999994</v>
      </c>
      <c r="J10" s="36">
        <f>SUM(J11:J107)</f>
        <v>58.066999999999993</v>
      </c>
      <c r="K10" s="130">
        <f>SUM(K11:K107)</f>
        <v>114.80770000000001</v>
      </c>
    </row>
    <row r="11" spans="1:11" s="74" customFormat="1" ht="29.25" customHeight="1" x14ac:dyDescent="0.25">
      <c r="A11" s="67">
        <v>1</v>
      </c>
      <c r="B11" s="49" t="s">
        <v>1817</v>
      </c>
      <c r="C11" s="15" t="s">
        <v>39</v>
      </c>
      <c r="D11" s="7" t="s">
        <v>614</v>
      </c>
      <c r="E11" s="14" t="s">
        <v>3297</v>
      </c>
      <c r="F11" s="13" t="s">
        <v>1051</v>
      </c>
      <c r="G11" s="13">
        <v>3</v>
      </c>
      <c r="H11" s="10">
        <f>0.382+0.123</f>
        <v>0.505</v>
      </c>
      <c r="I11" s="10">
        <v>0.505</v>
      </c>
      <c r="J11" s="10">
        <v>0</v>
      </c>
      <c r="K11" s="130">
        <f t="shared" ref="K11:K42" si="0">J11+H11</f>
        <v>0.505</v>
      </c>
    </row>
    <row r="12" spans="1:11" s="74" customFormat="1" ht="26.45" customHeight="1" x14ac:dyDescent="0.25">
      <c r="A12" s="67">
        <v>2</v>
      </c>
      <c r="B12" s="49" t="s">
        <v>1818</v>
      </c>
      <c r="C12" s="15" t="s">
        <v>38</v>
      </c>
      <c r="D12" s="7" t="s">
        <v>615</v>
      </c>
      <c r="E12" s="14" t="s">
        <v>3297</v>
      </c>
      <c r="F12" s="13" t="s">
        <v>1051</v>
      </c>
      <c r="G12" s="13">
        <v>3</v>
      </c>
      <c r="H12" s="10">
        <v>0.11600000000000001</v>
      </c>
      <c r="I12" s="10">
        <v>0</v>
      </c>
      <c r="J12" s="10">
        <v>0</v>
      </c>
      <c r="K12" s="130">
        <f t="shared" si="0"/>
        <v>0.11600000000000001</v>
      </c>
    </row>
    <row r="13" spans="1:11" s="74" customFormat="1" ht="34.9" customHeight="1" x14ac:dyDescent="0.25">
      <c r="A13" s="140">
        <v>3</v>
      </c>
      <c r="B13" s="49" t="s">
        <v>1819</v>
      </c>
      <c r="C13" s="15" t="s">
        <v>38</v>
      </c>
      <c r="D13" s="7" t="s">
        <v>616</v>
      </c>
      <c r="E13" s="14" t="s">
        <v>3297</v>
      </c>
      <c r="F13" s="13" t="s">
        <v>1051</v>
      </c>
      <c r="G13" s="13">
        <v>3</v>
      </c>
      <c r="H13" s="10">
        <v>0.14699999999999999</v>
      </c>
      <c r="I13" s="10">
        <v>0</v>
      </c>
      <c r="J13" s="10">
        <v>0</v>
      </c>
      <c r="K13" s="130">
        <f t="shared" si="0"/>
        <v>0.14699999999999999</v>
      </c>
    </row>
    <row r="14" spans="1:11" s="74" customFormat="1" ht="28.9" customHeight="1" x14ac:dyDescent="0.25">
      <c r="A14" s="140">
        <v>4</v>
      </c>
      <c r="B14" s="49" t="s">
        <v>1820</v>
      </c>
      <c r="C14" s="15" t="s">
        <v>39</v>
      </c>
      <c r="D14" s="159" t="s">
        <v>617</v>
      </c>
      <c r="E14" s="14" t="s">
        <v>3297</v>
      </c>
      <c r="F14" s="13" t="s">
        <v>1051</v>
      </c>
      <c r="G14" s="13">
        <v>3</v>
      </c>
      <c r="H14" s="10">
        <f>0.69+0.163+0.07</f>
        <v>0.92300000000000004</v>
      </c>
      <c r="I14" s="10">
        <f>0.69+0.163</f>
        <v>0.85299999999999998</v>
      </c>
      <c r="J14" s="10">
        <v>0</v>
      </c>
      <c r="K14" s="130">
        <f t="shared" si="0"/>
        <v>0.92300000000000004</v>
      </c>
    </row>
    <row r="15" spans="1:11" s="74" customFormat="1" ht="23.25" customHeight="1" x14ac:dyDescent="0.25">
      <c r="A15" s="140">
        <v>5</v>
      </c>
      <c r="B15" s="49" t="s">
        <v>1821</v>
      </c>
      <c r="C15" s="15" t="s">
        <v>976</v>
      </c>
      <c r="D15" s="7" t="s">
        <v>1619</v>
      </c>
      <c r="E15" s="14" t="s">
        <v>3297</v>
      </c>
      <c r="F15" s="13" t="s">
        <v>1051</v>
      </c>
      <c r="G15" s="13">
        <v>4</v>
      </c>
      <c r="H15" s="10">
        <v>0.22600000000000001</v>
      </c>
      <c r="I15" s="10">
        <v>0.22600000000000001</v>
      </c>
      <c r="J15" s="10">
        <v>0</v>
      </c>
      <c r="K15" s="130">
        <f t="shared" si="0"/>
        <v>0.22600000000000001</v>
      </c>
    </row>
    <row r="16" spans="1:11" s="74" customFormat="1" ht="33" customHeight="1" x14ac:dyDescent="0.25">
      <c r="A16" s="140">
        <v>6</v>
      </c>
      <c r="B16" s="49" t="s">
        <v>1822</v>
      </c>
      <c r="C16" s="15" t="s">
        <v>976</v>
      </c>
      <c r="D16" s="7" t="s">
        <v>618</v>
      </c>
      <c r="E16" s="14" t="s">
        <v>3297</v>
      </c>
      <c r="F16" s="13" t="s">
        <v>1051</v>
      </c>
      <c r="G16" s="13">
        <v>3.5</v>
      </c>
      <c r="H16" s="10">
        <v>0.123</v>
      </c>
      <c r="I16" s="10">
        <v>0.123</v>
      </c>
      <c r="J16" s="10">
        <v>0</v>
      </c>
      <c r="K16" s="130">
        <f t="shared" si="0"/>
        <v>0.123</v>
      </c>
    </row>
    <row r="17" spans="1:11" s="74" customFormat="1" ht="32.450000000000003" customHeight="1" x14ac:dyDescent="0.25">
      <c r="A17" s="140">
        <v>7</v>
      </c>
      <c r="B17" s="49" t="s">
        <v>1823</v>
      </c>
      <c r="C17" s="15" t="s">
        <v>976</v>
      </c>
      <c r="D17" s="7" t="s">
        <v>619</v>
      </c>
      <c r="E17" s="14" t="s">
        <v>3297</v>
      </c>
      <c r="F17" s="13" t="s">
        <v>1051</v>
      </c>
      <c r="G17" s="13">
        <v>3</v>
      </c>
      <c r="H17" s="10">
        <v>0.10299999999999999</v>
      </c>
      <c r="I17" s="10">
        <v>0.10299999999999999</v>
      </c>
      <c r="J17" s="10">
        <v>0</v>
      </c>
      <c r="K17" s="130">
        <f t="shared" si="0"/>
        <v>0.10299999999999999</v>
      </c>
    </row>
    <row r="18" spans="1:11" s="74" customFormat="1" ht="30" customHeight="1" x14ac:dyDescent="0.25">
      <c r="A18" s="140">
        <v>8</v>
      </c>
      <c r="B18" s="49" t="s">
        <v>1824</v>
      </c>
      <c r="C18" s="15" t="s">
        <v>976</v>
      </c>
      <c r="D18" s="7" t="s">
        <v>620</v>
      </c>
      <c r="E18" s="14" t="s">
        <v>3297</v>
      </c>
      <c r="F18" s="13" t="s">
        <v>1051</v>
      </c>
      <c r="G18" s="13">
        <v>3</v>
      </c>
      <c r="H18" s="10">
        <v>0.06</v>
      </c>
      <c r="I18" s="10">
        <v>0</v>
      </c>
      <c r="J18" s="10">
        <v>0</v>
      </c>
      <c r="K18" s="130">
        <f t="shared" si="0"/>
        <v>0.06</v>
      </c>
    </row>
    <row r="19" spans="1:11" s="74" customFormat="1" ht="31.9" customHeight="1" x14ac:dyDescent="0.25">
      <c r="A19" s="140">
        <v>9</v>
      </c>
      <c r="B19" s="49" t="s">
        <v>1825</v>
      </c>
      <c r="C19" s="15" t="s">
        <v>976</v>
      </c>
      <c r="D19" s="7" t="s">
        <v>621</v>
      </c>
      <c r="E19" s="14" t="s">
        <v>3297</v>
      </c>
      <c r="F19" s="13" t="s">
        <v>1051</v>
      </c>
      <c r="G19" s="13">
        <v>3.5</v>
      </c>
      <c r="H19" s="10">
        <f>0.106+0.042</f>
        <v>0.14799999999999999</v>
      </c>
      <c r="I19" s="10">
        <v>0.106</v>
      </c>
      <c r="J19" s="10">
        <v>0</v>
      </c>
      <c r="K19" s="130">
        <f t="shared" si="0"/>
        <v>0.14799999999999999</v>
      </c>
    </row>
    <row r="20" spans="1:11" s="74" customFormat="1" ht="31.15" customHeight="1" x14ac:dyDescent="0.25">
      <c r="A20" s="140">
        <v>10</v>
      </c>
      <c r="B20" s="49" t="s">
        <v>1826</v>
      </c>
      <c r="C20" s="15" t="s">
        <v>976</v>
      </c>
      <c r="D20" s="7" t="s">
        <v>622</v>
      </c>
      <c r="E20" s="14" t="s">
        <v>3297</v>
      </c>
      <c r="F20" s="13" t="s">
        <v>1051</v>
      </c>
      <c r="G20" s="13">
        <v>3.5</v>
      </c>
      <c r="H20" s="10">
        <v>0.19</v>
      </c>
      <c r="I20" s="10">
        <v>0.19</v>
      </c>
      <c r="J20" s="10">
        <v>0</v>
      </c>
      <c r="K20" s="130">
        <f t="shared" si="0"/>
        <v>0.19</v>
      </c>
    </row>
    <row r="21" spans="1:11" s="74" customFormat="1" ht="28.15" customHeight="1" x14ac:dyDescent="0.25">
      <c r="A21" s="140">
        <v>11</v>
      </c>
      <c r="B21" s="49" t="s">
        <v>1827</v>
      </c>
      <c r="C21" s="15" t="s">
        <v>39</v>
      </c>
      <c r="D21" s="7" t="s">
        <v>623</v>
      </c>
      <c r="E21" s="14" t="s">
        <v>3297</v>
      </c>
      <c r="F21" s="13" t="s">
        <v>1051</v>
      </c>
      <c r="G21" s="13">
        <v>4</v>
      </c>
      <c r="H21" s="10">
        <f>0.37+0.327</f>
        <v>0.69700000000000006</v>
      </c>
      <c r="I21" s="10">
        <v>0.69699999999999995</v>
      </c>
      <c r="J21" s="10">
        <v>0</v>
      </c>
      <c r="K21" s="130">
        <f t="shared" si="0"/>
        <v>0.69700000000000006</v>
      </c>
    </row>
    <row r="22" spans="1:11" s="74" customFormat="1" ht="27.6" customHeight="1" x14ac:dyDescent="0.25">
      <c r="A22" s="140">
        <v>12</v>
      </c>
      <c r="B22" s="49" t="s">
        <v>1828</v>
      </c>
      <c r="C22" s="15" t="s">
        <v>39</v>
      </c>
      <c r="D22" s="57" t="s">
        <v>624</v>
      </c>
      <c r="E22" s="14" t="s">
        <v>3297</v>
      </c>
      <c r="F22" s="13" t="s">
        <v>1051</v>
      </c>
      <c r="G22" s="13">
        <v>4</v>
      </c>
      <c r="H22" s="10">
        <v>0.34200000000000003</v>
      </c>
      <c r="I22" s="10">
        <v>0.34200000000000003</v>
      </c>
      <c r="J22" s="10">
        <v>0</v>
      </c>
      <c r="K22" s="130">
        <f t="shared" si="0"/>
        <v>0.34200000000000003</v>
      </c>
    </row>
    <row r="23" spans="1:11" s="74" customFormat="1" ht="32.450000000000003" customHeight="1" x14ac:dyDescent="0.25">
      <c r="A23" s="140">
        <v>13</v>
      </c>
      <c r="B23" s="49" t="s">
        <v>1829</v>
      </c>
      <c r="C23" s="15" t="s">
        <v>39</v>
      </c>
      <c r="D23" s="7" t="s">
        <v>3295</v>
      </c>
      <c r="E23" s="14" t="s">
        <v>3297</v>
      </c>
      <c r="F23" s="13" t="s">
        <v>1051</v>
      </c>
      <c r="G23" s="13">
        <v>4</v>
      </c>
      <c r="H23" s="10">
        <f>0.565+0.056</f>
        <v>0.621</v>
      </c>
      <c r="I23" s="10">
        <v>0.56499999999999995</v>
      </c>
      <c r="J23" s="10">
        <v>0</v>
      </c>
      <c r="K23" s="130">
        <f t="shared" si="0"/>
        <v>0.621</v>
      </c>
    </row>
    <row r="24" spans="1:11" s="74" customFormat="1" ht="25.9" customHeight="1" x14ac:dyDescent="0.25">
      <c r="A24" s="140">
        <v>14</v>
      </c>
      <c r="B24" s="49" t="s">
        <v>1830</v>
      </c>
      <c r="C24" s="15" t="s">
        <v>976</v>
      </c>
      <c r="D24" s="7" t="s">
        <v>3293</v>
      </c>
      <c r="E24" s="14" t="s">
        <v>3297</v>
      </c>
      <c r="F24" s="13" t="s">
        <v>1051</v>
      </c>
      <c r="G24" s="13">
        <v>3</v>
      </c>
      <c r="H24" s="10">
        <v>0.1497</v>
      </c>
      <c r="I24" s="10">
        <v>0.1497</v>
      </c>
      <c r="J24" s="10">
        <v>0</v>
      </c>
      <c r="K24" s="130">
        <f t="shared" si="0"/>
        <v>0.1497</v>
      </c>
    </row>
    <row r="25" spans="1:11" s="74" customFormat="1" ht="30" customHeight="1" x14ac:dyDescent="0.25">
      <c r="A25" s="140">
        <v>15</v>
      </c>
      <c r="B25" s="49" t="s">
        <v>1831</v>
      </c>
      <c r="C25" s="15" t="s">
        <v>976</v>
      </c>
      <c r="D25" s="7" t="s">
        <v>3294</v>
      </c>
      <c r="E25" s="14" t="s">
        <v>3297</v>
      </c>
      <c r="F25" s="13" t="s">
        <v>1051</v>
      </c>
      <c r="G25" s="13">
        <v>3</v>
      </c>
      <c r="H25" s="10">
        <v>0.11799999999999999</v>
      </c>
      <c r="I25" s="10">
        <v>0.11799999999999999</v>
      </c>
      <c r="J25" s="10">
        <v>0</v>
      </c>
      <c r="K25" s="130">
        <f t="shared" si="0"/>
        <v>0.11799999999999999</v>
      </c>
    </row>
    <row r="26" spans="1:11" s="74" customFormat="1" ht="34.15" customHeight="1" x14ac:dyDescent="0.25">
      <c r="A26" s="140">
        <v>16</v>
      </c>
      <c r="B26" s="49" t="s">
        <v>1832</v>
      </c>
      <c r="C26" s="15" t="s">
        <v>39</v>
      </c>
      <c r="D26" s="7" t="s">
        <v>625</v>
      </c>
      <c r="E26" s="14" t="s">
        <v>3297</v>
      </c>
      <c r="F26" s="13" t="s">
        <v>1051</v>
      </c>
      <c r="G26" s="13">
        <v>3.5</v>
      </c>
      <c r="H26" s="10">
        <v>0</v>
      </c>
      <c r="I26" s="10">
        <v>0</v>
      </c>
      <c r="J26" s="10">
        <v>0.152</v>
      </c>
      <c r="K26" s="130">
        <f t="shared" si="0"/>
        <v>0.152</v>
      </c>
    </row>
    <row r="27" spans="1:11" s="74" customFormat="1" ht="27.6" customHeight="1" x14ac:dyDescent="0.25">
      <c r="A27" s="140">
        <v>17</v>
      </c>
      <c r="B27" s="49" t="s">
        <v>1833</v>
      </c>
      <c r="C27" s="15" t="s">
        <v>976</v>
      </c>
      <c r="D27" s="7" t="s">
        <v>626</v>
      </c>
      <c r="E27" s="14" t="s">
        <v>3297</v>
      </c>
      <c r="F27" s="13" t="s">
        <v>1051</v>
      </c>
      <c r="G27" s="13">
        <v>3.5</v>
      </c>
      <c r="H27" s="10">
        <f>0.23+0.2</f>
        <v>0.43000000000000005</v>
      </c>
      <c r="I27" s="10">
        <v>0</v>
      </c>
      <c r="J27" s="10">
        <v>0</v>
      </c>
      <c r="K27" s="130">
        <f t="shared" si="0"/>
        <v>0.43000000000000005</v>
      </c>
    </row>
    <row r="28" spans="1:11" s="74" customFormat="1" ht="35.450000000000003" customHeight="1" x14ac:dyDescent="0.25">
      <c r="A28" s="140">
        <v>18</v>
      </c>
      <c r="B28" s="49" t="s">
        <v>1834</v>
      </c>
      <c r="C28" s="15" t="s">
        <v>976</v>
      </c>
      <c r="D28" s="7" t="s">
        <v>627</v>
      </c>
      <c r="E28" s="14" t="s">
        <v>3297</v>
      </c>
      <c r="F28" s="13" t="s">
        <v>1051</v>
      </c>
      <c r="G28" s="13">
        <v>3.5</v>
      </c>
      <c r="H28" s="10">
        <v>0.13700000000000001</v>
      </c>
      <c r="I28" s="10">
        <v>0</v>
      </c>
      <c r="J28" s="10">
        <v>0</v>
      </c>
      <c r="K28" s="130">
        <f t="shared" si="0"/>
        <v>0.13700000000000001</v>
      </c>
    </row>
    <row r="29" spans="1:11" s="74" customFormat="1" ht="27" customHeight="1" x14ac:dyDescent="0.25">
      <c r="A29" s="140">
        <v>19</v>
      </c>
      <c r="B29" s="49" t="s">
        <v>1835</v>
      </c>
      <c r="C29" s="15" t="s">
        <v>976</v>
      </c>
      <c r="D29" s="7" t="s">
        <v>628</v>
      </c>
      <c r="E29" s="14" t="s">
        <v>3297</v>
      </c>
      <c r="F29" s="13" t="s">
        <v>1051</v>
      </c>
      <c r="G29" s="13">
        <v>3.5</v>
      </c>
      <c r="H29" s="10">
        <v>0.41799999999999998</v>
      </c>
      <c r="I29" s="10">
        <v>0</v>
      </c>
      <c r="J29" s="10">
        <v>0</v>
      </c>
      <c r="K29" s="130">
        <f t="shared" si="0"/>
        <v>0.41799999999999998</v>
      </c>
    </row>
    <row r="30" spans="1:11" s="74" customFormat="1" ht="31.9" customHeight="1" x14ac:dyDescent="0.25">
      <c r="A30" s="140">
        <v>20</v>
      </c>
      <c r="B30" s="49" t="s">
        <v>1836</v>
      </c>
      <c r="C30" s="15" t="s">
        <v>976</v>
      </c>
      <c r="D30" s="7" t="s">
        <v>629</v>
      </c>
      <c r="E30" s="14" t="s">
        <v>3297</v>
      </c>
      <c r="F30" s="13" t="s">
        <v>1051</v>
      </c>
      <c r="G30" s="13">
        <v>3.5</v>
      </c>
      <c r="H30" s="10">
        <f>0.547+0.067+0.515</f>
        <v>1.129</v>
      </c>
      <c r="I30" s="10">
        <v>0.53600000000000003</v>
      </c>
      <c r="J30" s="10">
        <v>0</v>
      </c>
      <c r="K30" s="130">
        <f t="shared" si="0"/>
        <v>1.129</v>
      </c>
    </row>
    <row r="31" spans="1:11" s="74" customFormat="1" ht="26.45" customHeight="1" x14ac:dyDescent="0.25">
      <c r="A31" s="140">
        <v>21</v>
      </c>
      <c r="B31" s="49" t="s">
        <v>1837</v>
      </c>
      <c r="C31" s="15" t="s">
        <v>39</v>
      </c>
      <c r="D31" s="7" t="s">
        <v>630</v>
      </c>
      <c r="E31" s="14" t="s">
        <v>3297</v>
      </c>
      <c r="F31" s="13" t="s">
        <v>1051</v>
      </c>
      <c r="G31" s="13">
        <v>4</v>
      </c>
      <c r="H31" s="10">
        <f>0.61+0.08+0.13</f>
        <v>0.82</v>
      </c>
      <c r="I31" s="10">
        <v>0.82</v>
      </c>
      <c r="J31" s="10">
        <v>0</v>
      </c>
      <c r="K31" s="130">
        <f t="shared" si="0"/>
        <v>0.82</v>
      </c>
    </row>
    <row r="32" spans="1:11" s="74" customFormat="1" ht="30.6" customHeight="1" x14ac:dyDescent="0.25">
      <c r="A32" s="140">
        <v>22</v>
      </c>
      <c r="B32" s="49" t="s">
        <v>1838</v>
      </c>
      <c r="C32" s="15" t="s">
        <v>976</v>
      </c>
      <c r="D32" s="7" t="s">
        <v>631</v>
      </c>
      <c r="E32" s="14" t="s">
        <v>3297</v>
      </c>
      <c r="F32" s="13" t="s">
        <v>1051</v>
      </c>
      <c r="G32" s="13">
        <v>3.5</v>
      </c>
      <c r="H32" s="10">
        <v>0.36</v>
      </c>
      <c r="I32" s="10">
        <v>0.36</v>
      </c>
      <c r="J32" s="10">
        <v>0</v>
      </c>
      <c r="K32" s="130">
        <f t="shared" si="0"/>
        <v>0.36</v>
      </c>
    </row>
    <row r="33" spans="1:11" s="74" customFormat="1" ht="26.45" customHeight="1" x14ac:dyDescent="0.25">
      <c r="A33" s="140">
        <v>23</v>
      </c>
      <c r="B33" s="49" t="s">
        <v>1839</v>
      </c>
      <c r="C33" s="15" t="s">
        <v>39</v>
      </c>
      <c r="D33" s="7" t="s">
        <v>632</v>
      </c>
      <c r="E33" s="14" t="s">
        <v>3297</v>
      </c>
      <c r="F33" s="13" t="s">
        <v>1051</v>
      </c>
      <c r="G33" s="13">
        <v>3</v>
      </c>
      <c r="H33" s="10">
        <v>0.13</v>
      </c>
      <c r="I33" s="10">
        <v>0.13</v>
      </c>
      <c r="J33" s="10">
        <v>0</v>
      </c>
      <c r="K33" s="130">
        <f t="shared" si="0"/>
        <v>0.13</v>
      </c>
    </row>
    <row r="34" spans="1:11" s="74" customFormat="1" ht="27.6" customHeight="1" x14ac:dyDescent="0.25">
      <c r="A34" s="140">
        <v>24</v>
      </c>
      <c r="B34" s="49" t="s">
        <v>1840</v>
      </c>
      <c r="C34" s="15" t="s">
        <v>39</v>
      </c>
      <c r="D34" s="7" t="s">
        <v>633</v>
      </c>
      <c r="E34" s="14" t="s">
        <v>3297</v>
      </c>
      <c r="F34" s="13" t="s">
        <v>1051</v>
      </c>
      <c r="G34" s="13">
        <v>3.5</v>
      </c>
      <c r="H34" s="10">
        <v>0.21</v>
      </c>
      <c r="I34" s="10">
        <v>0.21</v>
      </c>
      <c r="J34" s="10">
        <v>0</v>
      </c>
      <c r="K34" s="130">
        <f t="shared" si="0"/>
        <v>0.21</v>
      </c>
    </row>
    <row r="35" spans="1:11" s="74" customFormat="1" ht="27" customHeight="1" x14ac:dyDescent="0.25">
      <c r="A35" s="140">
        <v>25</v>
      </c>
      <c r="B35" s="49" t="s">
        <v>1841</v>
      </c>
      <c r="C35" s="15" t="s">
        <v>39</v>
      </c>
      <c r="D35" s="7" t="s">
        <v>634</v>
      </c>
      <c r="E35" s="14" t="s">
        <v>3297</v>
      </c>
      <c r="F35" s="13" t="s">
        <v>1051</v>
      </c>
      <c r="G35" s="13">
        <v>3.5</v>
      </c>
      <c r="H35" s="10">
        <v>0.224</v>
      </c>
      <c r="I35" s="10">
        <v>0.224</v>
      </c>
      <c r="J35" s="10">
        <v>0</v>
      </c>
      <c r="K35" s="130">
        <f t="shared" si="0"/>
        <v>0.224</v>
      </c>
    </row>
    <row r="36" spans="1:11" s="74" customFormat="1" ht="23.25" customHeight="1" x14ac:dyDescent="0.25">
      <c r="A36" s="140">
        <v>26</v>
      </c>
      <c r="B36" s="49" t="s">
        <v>1842</v>
      </c>
      <c r="C36" s="15" t="s">
        <v>976</v>
      </c>
      <c r="D36" s="7" t="s">
        <v>635</v>
      </c>
      <c r="E36" s="14" t="s">
        <v>3297</v>
      </c>
      <c r="F36" s="13" t="s">
        <v>1051</v>
      </c>
      <c r="G36" s="13">
        <v>3</v>
      </c>
      <c r="H36" s="10">
        <v>0.11799999999999999</v>
      </c>
      <c r="I36" s="10">
        <v>0</v>
      </c>
      <c r="J36" s="10">
        <v>0</v>
      </c>
      <c r="K36" s="130">
        <f t="shared" si="0"/>
        <v>0.11799999999999999</v>
      </c>
    </row>
    <row r="37" spans="1:11" s="74" customFormat="1" ht="33.6" customHeight="1" x14ac:dyDescent="0.25">
      <c r="A37" s="140">
        <v>27</v>
      </c>
      <c r="B37" s="49" t="s">
        <v>1843</v>
      </c>
      <c r="C37" s="15" t="s">
        <v>38</v>
      </c>
      <c r="D37" s="57" t="s">
        <v>1620</v>
      </c>
      <c r="E37" s="14" t="s">
        <v>3297</v>
      </c>
      <c r="F37" s="13" t="s">
        <v>1051</v>
      </c>
      <c r="G37" s="13">
        <v>3</v>
      </c>
      <c r="H37" s="10">
        <v>0.24099999999999999</v>
      </c>
      <c r="I37" s="10">
        <v>0.24099999999999999</v>
      </c>
      <c r="J37" s="10">
        <v>0</v>
      </c>
      <c r="K37" s="130">
        <f t="shared" si="0"/>
        <v>0.24099999999999999</v>
      </c>
    </row>
    <row r="38" spans="1:11" s="74" customFormat="1" ht="27" customHeight="1" x14ac:dyDescent="0.25">
      <c r="A38" s="140">
        <v>28</v>
      </c>
      <c r="B38" s="49" t="s">
        <v>1844</v>
      </c>
      <c r="C38" s="15" t="s">
        <v>39</v>
      </c>
      <c r="D38" s="7" t="s">
        <v>636</v>
      </c>
      <c r="E38" s="14" t="s">
        <v>3297</v>
      </c>
      <c r="F38" s="13" t="s">
        <v>1051</v>
      </c>
      <c r="G38" s="13">
        <v>3.5</v>
      </c>
      <c r="H38" s="10">
        <f>0.726+0.184</f>
        <v>0.90999999999999992</v>
      </c>
      <c r="I38" s="10">
        <v>0.72599999999999998</v>
      </c>
      <c r="J38" s="10">
        <v>0</v>
      </c>
      <c r="K38" s="130">
        <f t="shared" si="0"/>
        <v>0.90999999999999992</v>
      </c>
    </row>
    <row r="39" spans="1:11" s="74" customFormat="1" ht="28.15" customHeight="1" x14ac:dyDescent="0.25">
      <c r="A39" s="140">
        <v>29</v>
      </c>
      <c r="B39" s="49" t="s">
        <v>1845</v>
      </c>
      <c r="C39" s="15" t="s">
        <v>976</v>
      </c>
      <c r="D39" s="7" t="s">
        <v>637</v>
      </c>
      <c r="E39" s="14" t="s">
        <v>3297</v>
      </c>
      <c r="F39" s="13" t="s">
        <v>1051</v>
      </c>
      <c r="G39" s="13">
        <v>3</v>
      </c>
      <c r="H39" s="10">
        <f>0.457+0.306</f>
        <v>0.76300000000000001</v>
      </c>
      <c r="I39" s="10">
        <v>0.45800000000000002</v>
      </c>
      <c r="J39" s="10">
        <v>0</v>
      </c>
      <c r="K39" s="130">
        <f t="shared" si="0"/>
        <v>0.76300000000000001</v>
      </c>
    </row>
    <row r="40" spans="1:11" s="74" customFormat="1" ht="28.15" customHeight="1" x14ac:dyDescent="0.25">
      <c r="A40" s="140">
        <v>30</v>
      </c>
      <c r="B40" s="49" t="s">
        <v>1846</v>
      </c>
      <c r="C40" s="15" t="s">
        <v>976</v>
      </c>
      <c r="D40" s="7" t="s">
        <v>638</v>
      </c>
      <c r="E40" s="14" t="s">
        <v>3297</v>
      </c>
      <c r="F40" s="13" t="s">
        <v>1051</v>
      </c>
      <c r="G40" s="13">
        <v>3.5</v>
      </c>
      <c r="H40" s="10">
        <v>0.224</v>
      </c>
      <c r="I40" s="10">
        <v>0</v>
      </c>
      <c r="J40" s="10">
        <v>0</v>
      </c>
      <c r="K40" s="130">
        <f t="shared" si="0"/>
        <v>0.224</v>
      </c>
    </row>
    <row r="41" spans="1:11" s="74" customFormat="1" ht="33" customHeight="1" x14ac:dyDescent="0.25">
      <c r="A41" s="140">
        <v>31</v>
      </c>
      <c r="B41" s="49" t="s">
        <v>1847</v>
      </c>
      <c r="C41" s="15" t="s">
        <v>976</v>
      </c>
      <c r="D41" s="7" t="s">
        <v>639</v>
      </c>
      <c r="E41" s="14" t="s">
        <v>3297</v>
      </c>
      <c r="F41" s="13" t="s">
        <v>1051</v>
      </c>
      <c r="G41" s="13">
        <v>3.5</v>
      </c>
      <c r="H41" s="10">
        <v>0.214</v>
      </c>
      <c r="I41" s="10">
        <v>0</v>
      </c>
      <c r="J41" s="10">
        <v>0</v>
      </c>
      <c r="K41" s="130">
        <f t="shared" si="0"/>
        <v>0.214</v>
      </c>
    </row>
    <row r="42" spans="1:11" s="74" customFormat="1" ht="26.45" customHeight="1" x14ac:dyDescent="0.25">
      <c r="A42" s="140">
        <v>32</v>
      </c>
      <c r="B42" s="49" t="s">
        <v>1848</v>
      </c>
      <c r="C42" s="15" t="s">
        <v>976</v>
      </c>
      <c r="D42" s="7" t="s">
        <v>640</v>
      </c>
      <c r="E42" s="14" t="s">
        <v>3297</v>
      </c>
      <c r="F42" s="13" t="s">
        <v>1051</v>
      </c>
      <c r="G42" s="13">
        <v>3.5</v>
      </c>
      <c r="H42" s="10">
        <v>0.21299999999999999</v>
      </c>
      <c r="I42" s="10">
        <v>0</v>
      </c>
      <c r="J42" s="10">
        <v>0</v>
      </c>
      <c r="K42" s="130">
        <f t="shared" si="0"/>
        <v>0.21299999999999999</v>
      </c>
    </row>
    <row r="43" spans="1:11" s="74" customFormat="1" ht="27" customHeight="1" x14ac:dyDescent="0.25">
      <c r="A43" s="140">
        <v>33</v>
      </c>
      <c r="B43" s="49" t="s">
        <v>1849</v>
      </c>
      <c r="C43" s="15" t="s">
        <v>39</v>
      </c>
      <c r="D43" s="7" t="s">
        <v>641</v>
      </c>
      <c r="E43" s="14" t="s">
        <v>3297</v>
      </c>
      <c r="F43" s="13" t="s">
        <v>1051</v>
      </c>
      <c r="G43" s="13">
        <v>3.5</v>
      </c>
      <c r="H43" s="10">
        <f>0.449+0.022</f>
        <v>0.47100000000000003</v>
      </c>
      <c r="I43" s="10">
        <v>0.44900000000000001</v>
      </c>
      <c r="J43" s="10">
        <v>0</v>
      </c>
      <c r="K43" s="130">
        <f t="shared" ref="K43:K74" si="1">J43+H43</f>
        <v>0.47100000000000003</v>
      </c>
    </row>
    <row r="44" spans="1:11" s="74" customFormat="1" ht="30.6" customHeight="1" x14ac:dyDescent="0.25">
      <c r="A44" s="140">
        <v>34</v>
      </c>
      <c r="B44" s="49" t="s">
        <v>1850</v>
      </c>
      <c r="C44" s="15" t="s">
        <v>39</v>
      </c>
      <c r="D44" s="7" t="s">
        <v>642</v>
      </c>
      <c r="E44" s="14" t="s">
        <v>3297</v>
      </c>
      <c r="F44" s="13" t="s">
        <v>1051</v>
      </c>
      <c r="G44" s="13">
        <v>3.5</v>
      </c>
      <c r="H44" s="10">
        <f>0.341+0.6</f>
        <v>0.94100000000000006</v>
      </c>
      <c r="I44" s="10">
        <v>0.34100000000000003</v>
      </c>
      <c r="J44" s="10">
        <v>0</v>
      </c>
      <c r="K44" s="130">
        <f t="shared" si="1"/>
        <v>0.94100000000000006</v>
      </c>
    </row>
    <row r="45" spans="1:11" s="74" customFormat="1" ht="28.9" customHeight="1" x14ac:dyDescent="0.25">
      <c r="A45" s="140">
        <v>35</v>
      </c>
      <c r="B45" s="49" t="s">
        <v>1851</v>
      </c>
      <c r="C45" s="15" t="s">
        <v>39</v>
      </c>
      <c r="D45" s="7" t="s">
        <v>643</v>
      </c>
      <c r="E45" s="14" t="s">
        <v>3297</v>
      </c>
      <c r="F45" s="13" t="s">
        <v>1051</v>
      </c>
      <c r="G45" s="13">
        <v>4</v>
      </c>
      <c r="H45" s="10">
        <v>0.33</v>
      </c>
      <c r="I45" s="10">
        <v>0.33</v>
      </c>
      <c r="J45" s="10">
        <v>0</v>
      </c>
      <c r="K45" s="130">
        <f t="shared" si="1"/>
        <v>0.33</v>
      </c>
    </row>
    <row r="46" spans="1:11" s="74" customFormat="1" ht="28.15" customHeight="1" x14ac:dyDescent="0.25">
      <c r="A46" s="140">
        <v>36</v>
      </c>
      <c r="B46" s="49" t="s">
        <v>1852</v>
      </c>
      <c r="C46" s="15" t="s">
        <v>39</v>
      </c>
      <c r="D46" s="7" t="s">
        <v>644</v>
      </c>
      <c r="E46" s="14" t="s">
        <v>3297</v>
      </c>
      <c r="F46" s="13" t="s">
        <v>1051</v>
      </c>
      <c r="G46" s="13">
        <v>3.5</v>
      </c>
      <c r="H46" s="10">
        <f>1.315+0.331</f>
        <v>1.6459999999999999</v>
      </c>
      <c r="I46" s="10">
        <v>0</v>
      </c>
      <c r="J46" s="10">
        <v>0</v>
      </c>
      <c r="K46" s="130">
        <f t="shared" si="1"/>
        <v>1.6459999999999999</v>
      </c>
    </row>
    <row r="47" spans="1:11" s="74" customFormat="1" ht="35.450000000000003" customHeight="1" x14ac:dyDescent="0.25">
      <c r="A47" s="140">
        <v>37</v>
      </c>
      <c r="B47" s="49" t="s">
        <v>1853</v>
      </c>
      <c r="C47" s="15" t="s">
        <v>976</v>
      </c>
      <c r="D47" s="7" t="s">
        <v>645</v>
      </c>
      <c r="E47" s="14" t="s">
        <v>3297</v>
      </c>
      <c r="F47" s="13" t="s">
        <v>1051</v>
      </c>
      <c r="G47" s="13">
        <v>3.5</v>
      </c>
      <c r="H47" s="10">
        <v>0.33100000000000002</v>
      </c>
      <c r="I47" s="10">
        <v>0</v>
      </c>
      <c r="J47" s="10">
        <v>0</v>
      </c>
      <c r="K47" s="130">
        <f t="shared" si="1"/>
        <v>0.33100000000000002</v>
      </c>
    </row>
    <row r="48" spans="1:11" s="74" customFormat="1" ht="28.15" customHeight="1" x14ac:dyDescent="0.25">
      <c r="A48" s="140">
        <v>38</v>
      </c>
      <c r="B48" s="49" t="s">
        <v>1854</v>
      </c>
      <c r="C48" s="15" t="s">
        <v>976</v>
      </c>
      <c r="D48" s="7" t="s">
        <v>646</v>
      </c>
      <c r="E48" s="14" t="s">
        <v>3297</v>
      </c>
      <c r="F48" s="13" t="s">
        <v>1051</v>
      </c>
      <c r="G48" s="13">
        <v>3.5</v>
      </c>
      <c r="H48" s="10">
        <v>0.308</v>
      </c>
      <c r="I48" s="10">
        <v>0</v>
      </c>
      <c r="J48" s="10">
        <v>0</v>
      </c>
      <c r="K48" s="130">
        <f t="shared" si="1"/>
        <v>0.308</v>
      </c>
    </row>
    <row r="49" spans="1:11" s="74" customFormat="1" ht="31.15" customHeight="1" x14ac:dyDescent="0.25">
      <c r="A49" s="140">
        <v>39</v>
      </c>
      <c r="B49" s="49" t="s">
        <v>1855</v>
      </c>
      <c r="C49" s="15" t="s">
        <v>976</v>
      </c>
      <c r="D49" s="7" t="s">
        <v>647</v>
      </c>
      <c r="E49" s="14" t="s">
        <v>3297</v>
      </c>
      <c r="F49" s="13" t="s">
        <v>1051</v>
      </c>
      <c r="G49" s="13">
        <v>3.5</v>
      </c>
      <c r="H49" s="10">
        <v>0.30099999999999999</v>
      </c>
      <c r="I49" s="10">
        <v>0</v>
      </c>
      <c r="J49" s="10">
        <v>0</v>
      </c>
      <c r="K49" s="130">
        <f t="shared" si="1"/>
        <v>0.30099999999999999</v>
      </c>
    </row>
    <row r="50" spans="1:11" s="74" customFormat="1" ht="30" customHeight="1" x14ac:dyDescent="0.25">
      <c r="A50" s="140">
        <v>40</v>
      </c>
      <c r="B50" s="49" t="s">
        <v>1856</v>
      </c>
      <c r="C50" s="15" t="s">
        <v>976</v>
      </c>
      <c r="D50" s="7" t="s">
        <v>648</v>
      </c>
      <c r="E50" s="14" t="s">
        <v>3297</v>
      </c>
      <c r="F50" s="13" t="s">
        <v>1051</v>
      </c>
      <c r="G50" s="13">
        <v>3.5</v>
      </c>
      <c r="H50" s="10">
        <v>0.3</v>
      </c>
      <c r="I50" s="10">
        <v>0</v>
      </c>
      <c r="J50" s="10">
        <v>0</v>
      </c>
      <c r="K50" s="130">
        <f t="shared" si="1"/>
        <v>0.3</v>
      </c>
    </row>
    <row r="51" spans="1:11" s="74" customFormat="1" ht="25.9" customHeight="1" x14ac:dyDescent="0.25">
      <c r="A51" s="140">
        <v>41</v>
      </c>
      <c r="B51" s="49" t="s">
        <v>1857</v>
      </c>
      <c r="C51" s="15" t="s">
        <v>976</v>
      </c>
      <c r="D51" s="7" t="s">
        <v>649</v>
      </c>
      <c r="E51" s="14" t="s">
        <v>3297</v>
      </c>
      <c r="F51" s="13" t="s">
        <v>1051</v>
      </c>
      <c r="G51" s="13">
        <v>3.5</v>
      </c>
      <c r="H51" s="10">
        <v>0.16800000000000001</v>
      </c>
      <c r="I51" s="10">
        <v>0</v>
      </c>
      <c r="J51" s="10">
        <v>0</v>
      </c>
      <c r="K51" s="130">
        <f t="shared" si="1"/>
        <v>0.16800000000000001</v>
      </c>
    </row>
    <row r="52" spans="1:11" s="74" customFormat="1" ht="30.6" customHeight="1" x14ac:dyDescent="0.25">
      <c r="A52" s="140">
        <v>42</v>
      </c>
      <c r="B52" s="49" t="s">
        <v>1858</v>
      </c>
      <c r="C52" s="15" t="s">
        <v>976</v>
      </c>
      <c r="D52" s="7" t="s">
        <v>650</v>
      </c>
      <c r="E52" s="14" t="s">
        <v>3297</v>
      </c>
      <c r="F52" s="13" t="s">
        <v>1051</v>
      </c>
      <c r="G52" s="13">
        <v>3.5</v>
      </c>
      <c r="H52" s="10">
        <v>0.15</v>
      </c>
      <c r="I52" s="10">
        <v>0</v>
      </c>
      <c r="J52" s="10">
        <v>0</v>
      </c>
      <c r="K52" s="130">
        <f t="shared" si="1"/>
        <v>0.15</v>
      </c>
    </row>
    <row r="53" spans="1:11" s="74" customFormat="1" ht="26.45" customHeight="1" x14ac:dyDescent="0.25">
      <c r="A53" s="140">
        <v>43</v>
      </c>
      <c r="B53" s="49" t="s">
        <v>1859</v>
      </c>
      <c r="C53" s="15" t="s">
        <v>976</v>
      </c>
      <c r="D53" s="7" t="s">
        <v>651</v>
      </c>
      <c r="E53" s="14" t="s">
        <v>3297</v>
      </c>
      <c r="F53" s="13" t="s">
        <v>1051</v>
      </c>
      <c r="G53" s="13">
        <v>3.5</v>
      </c>
      <c r="H53" s="10">
        <v>0.17699999999999999</v>
      </c>
      <c r="I53" s="10">
        <v>0</v>
      </c>
      <c r="J53" s="10">
        <v>0</v>
      </c>
      <c r="K53" s="130">
        <f t="shared" si="1"/>
        <v>0.17699999999999999</v>
      </c>
    </row>
    <row r="54" spans="1:11" s="74" customFormat="1" ht="38.450000000000003" customHeight="1" x14ac:dyDescent="0.25">
      <c r="A54" s="140">
        <v>44</v>
      </c>
      <c r="B54" s="49" t="s">
        <v>1860</v>
      </c>
      <c r="C54" s="15" t="s">
        <v>38</v>
      </c>
      <c r="D54" s="7" t="s">
        <v>652</v>
      </c>
      <c r="E54" s="14" t="s">
        <v>3297</v>
      </c>
      <c r="F54" s="13" t="s">
        <v>1051</v>
      </c>
      <c r="G54" s="13">
        <v>4.5</v>
      </c>
      <c r="H54" s="10">
        <v>0.36699999999999999</v>
      </c>
      <c r="I54" s="10">
        <v>0.36699999999999999</v>
      </c>
      <c r="J54" s="10">
        <v>0</v>
      </c>
      <c r="K54" s="130">
        <f t="shared" si="1"/>
        <v>0.36699999999999999</v>
      </c>
    </row>
    <row r="55" spans="1:11" s="74" customFormat="1" ht="31.9" customHeight="1" x14ac:dyDescent="0.25">
      <c r="A55" s="140">
        <v>45</v>
      </c>
      <c r="B55" s="49" t="s">
        <v>1861</v>
      </c>
      <c r="C55" s="15" t="s">
        <v>38</v>
      </c>
      <c r="D55" s="7" t="s">
        <v>653</v>
      </c>
      <c r="E55" s="14" t="s">
        <v>3297</v>
      </c>
      <c r="F55" s="13"/>
      <c r="G55" s="13">
        <v>3</v>
      </c>
      <c r="H55" s="10">
        <f>0.05+0.143</f>
        <v>0.193</v>
      </c>
      <c r="I55" s="10">
        <v>0</v>
      </c>
      <c r="J55" s="10">
        <v>0</v>
      </c>
      <c r="K55" s="130">
        <f t="shared" si="1"/>
        <v>0.193</v>
      </c>
    </row>
    <row r="56" spans="1:11" s="74" customFormat="1" ht="27.6" customHeight="1" x14ac:dyDescent="0.25">
      <c r="A56" s="140">
        <v>46</v>
      </c>
      <c r="B56" s="49" t="s">
        <v>1862</v>
      </c>
      <c r="C56" s="15" t="s">
        <v>39</v>
      </c>
      <c r="D56" s="7" t="s">
        <v>654</v>
      </c>
      <c r="E56" s="14" t="s">
        <v>3297</v>
      </c>
      <c r="F56" s="13" t="s">
        <v>1051</v>
      </c>
      <c r="G56" s="13">
        <v>3.5</v>
      </c>
      <c r="H56" s="10">
        <f>0.193+0.813</f>
        <v>1.006</v>
      </c>
      <c r="I56" s="10">
        <v>0</v>
      </c>
      <c r="J56" s="10">
        <v>0</v>
      </c>
      <c r="K56" s="130">
        <f t="shared" si="1"/>
        <v>1.006</v>
      </c>
    </row>
    <row r="57" spans="1:11" s="74" customFormat="1" ht="33.6" customHeight="1" x14ac:dyDescent="0.25">
      <c r="A57" s="140">
        <v>47</v>
      </c>
      <c r="B57" s="49" t="s">
        <v>1863</v>
      </c>
      <c r="C57" s="15" t="s">
        <v>38</v>
      </c>
      <c r="D57" s="7" t="s">
        <v>655</v>
      </c>
      <c r="E57" s="14" t="s">
        <v>3297</v>
      </c>
      <c r="F57" s="13" t="s">
        <v>1051</v>
      </c>
      <c r="G57" s="13">
        <v>4</v>
      </c>
      <c r="H57" s="10">
        <v>0.64800000000000002</v>
      </c>
      <c r="I57" s="10">
        <v>0.64800000000000002</v>
      </c>
      <c r="J57" s="10">
        <v>0</v>
      </c>
      <c r="K57" s="130">
        <f t="shared" si="1"/>
        <v>0.64800000000000002</v>
      </c>
    </row>
    <row r="58" spans="1:11" s="74" customFormat="1" ht="27.6" customHeight="1" x14ac:dyDescent="0.25">
      <c r="A58" s="140">
        <v>48</v>
      </c>
      <c r="B58" s="49" t="s">
        <v>1864</v>
      </c>
      <c r="C58" s="15" t="s">
        <v>39</v>
      </c>
      <c r="D58" s="7" t="s">
        <v>656</v>
      </c>
      <c r="E58" s="14" t="s">
        <v>3297</v>
      </c>
      <c r="F58" s="13" t="s">
        <v>1051</v>
      </c>
      <c r="G58" s="13">
        <v>3.5</v>
      </c>
      <c r="H58" s="10">
        <f>0.67+0.283+1.288</f>
        <v>2.2410000000000001</v>
      </c>
      <c r="I58" s="10">
        <v>0.95299999999999996</v>
      </c>
      <c r="J58" s="10">
        <v>0</v>
      </c>
      <c r="K58" s="130">
        <f t="shared" si="1"/>
        <v>2.2410000000000001</v>
      </c>
    </row>
    <row r="59" spans="1:11" s="74" customFormat="1" ht="34.15" customHeight="1" x14ac:dyDescent="0.25">
      <c r="A59" s="140">
        <v>49</v>
      </c>
      <c r="B59" s="49" t="s">
        <v>1865</v>
      </c>
      <c r="C59" s="15" t="s">
        <v>39</v>
      </c>
      <c r="D59" s="7" t="s">
        <v>704</v>
      </c>
      <c r="E59" s="14" t="s">
        <v>3297</v>
      </c>
      <c r="F59" s="13" t="s">
        <v>1051</v>
      </c>
      <c r="G59" s="13">
        <v>4</v>
      </c>
      <c r="H59" s="10">
        <f>0.883+0.128</f>
        <v>1.0110000000000001</v>
      </c>
      <c r="I59" s="10">
        <f>0.883+0.128</f>
        <v>1.0110000000000001</v>
      </c>
      <c r="J59" s="10">
        <v>0</v>
      </c>
      <c r="K59" s="130">
        <f t="shared" si="1"/>
        <v>1.0110000000000001</v>
      </c>
    </row>
    <row r="60" spans="1:11" s="74" customFormat="1" ht="36.6" customHeight="1" x14ac:dyDescent="0.25">
      <c r="A60" s="140">
        <v>50</v>
      </c>
      <c r="B60" s="49" t="s">
        <v>1866</v>
      </c>
      <c r="C60" s="15" t="s">
        <v>38</v>
      </c>
      <c r="D60" s="7" t="s">
        <v>657</v>
      </c>
      <c r="E60" s="14" t="s">
        <v>3297</v>
      </c>
      <c r="F60" s="13" t="s">
        <v>1051</v>
      </c>
      <c r="G60" s="13">
        <v>3.5</v>
      </c>
      <c r="H60" s="10">
        <v>0</v>
      </c>
      <c r="I60" s="10">
        <v>0</v>
      </c>
      <c r="J60" s="10">
        <v>0.34499999999999997</v>
      </c>
      <c r="K60" s="130">
        <f t="shared" si="1"/>
        <v>0.34499999999999997</v>
      </c>
    </row>
    <row r="61" spans="1:11" s="74" customFormat="1" ht="30.6" customHeight="1" x14ac:dyDescent="0.25">
      <c r="A61" s="140">
        <v>51</v>
      </c>
      <c r="B61" s="49" t="s">
        <v>1867</v>
      </c>
      <c r="C61" s="15" t="s">
        <v>39</v>
      </c>
      <c r="D61" s="7" t="s">
        <v>658</v>
      </c>
      <c r="E61" s="14" t="s">
        <v>3297</v>
      </c>
      <c r="F61" s="13" t="s">
        <v>1114</v>
      </c>
      <c r="G61" s="13">
        <v>6</v>
      </c>
      <c r="H61" s="10">
        <v>0.248</v>
      </c>
      <c r="I61" s="10">
        <v>0</v>
      </c>
      <c r="J61" s="10">
        <v>1.0269999999999999</v>
      </c>
      <c r="K61" s="130">
        <f t="shared" si="1"/>
        <v>1.2749999999999999</v>
      </c>
    </row>
    <row r="62" spans="1:11" s="74" customFormat="1" ht="31.15" customHeight="1" x14ac:dyDescent="0.25">
      <c r="A62" s="140">
        <v>52</v>
      </c>
      <c r="B62" s="49" t="s">
        <v>1868</v>
      </c>
      <c r="C62" s="15" t="s">
        <v>38</v>
      </c>
      <c r="D62" s="7" t="s">
        <v>659</v>
      </c>
      <c r="E62" s="14" t="s">
        <v>3297</v>
      </c>
      <c r="F62" s="13" t="s">
        <v>1051</v>
      </c>
      <c r="G62" s="13">
        <v>3.5</v>
      </c>
      <c r="H62" s="10">
        <v>0</v>
      </c>
      <c r="I62" s="10">
        <v>0</v>
      </c>
      <c r="J62" s="10">
        <v>0.82099999999999995</v>
      </c>
      <c r="K62" s="130">
        <f t="shared" si="1"/>
        <v>0.82099999999999995</v>
      </c>
    </row>
    <row r="63" spans="1:11" s="74" customFormat="1" ht="30" customHeight="1" x14ac:dyDescent="0.25">
      <c r="A63" s="140">
        <v>53</v>
      </c>
      <c r="B63" s="49" t="s">
        <v>1869</v>
      </c>
      <c r="C63" s="15" t="s">
        <v>38</v>
      </c>
      <c r="D63" s="7" t="s">
        <v>660</v>
      </c>
      <c r="E63" s="14" t="s">
        <v>3297</v>
      </c>
      <c r="F63" s="13" t="s">
        <v>1051</v>
      </c>
      <c r="G63" s="13">
        <v>3.5</v>
      </c>
      <c r="H63" s="10">
        <v>0.23799999999999999</v>
      </c>
      <c r="I63" s="10">
        <v>0</v>
      </c>
      <c r="J63" s="10">
        <v>0</v>
      </c>
      <c r="K63" s="130">
        <f t="shared" si="1"/>
        <v>0.23799999999999999</v>
      </c>
    </row>
    <row r="64" spans="1:11" s="74" customFormat="1" ht="35.450000000000003" customHeight="1" x14ac:dyDescent="0.25">
      <c r="A64" s="140">
        <v>54</v>
      </c>
      <c r="B64" s="49" t="s">
        <v>1870</v>
      </c>
      <c r="C64" s="15" t="s">
        <v>39</v>
      </c>
      <c r="D64" s="7" t="s">
        <v>661</v>
      </c>
      <c r="E64" s="14" t="s">
        <v>3297</v>
      </c>
      <c r="F64" s="13" t="s">
        <v>1114</v>
      </c>
      <c r="G64" s="13">
        <v>6</v>
      </c>
      <c r="H64" s="10">
        <f>0.076+0.257+0.163+1.082+0.15+0.51+0.114+0.231+1.427</f>
        <v>4.01</v>
      </c>
      <c r="I64" s="10">
        <f>1.082+0.15+0.51+0.114+0.231</f>
        <v>2.0870000000000002</v>
      </c>
      <c r="J64" s="10">
        <v>0</v>
      </c>
      <c r="K64" s="130">
        <f t="shared" si="1"/>
        <v>4.01</v>
      </c>
    </row>
    <row r="65" spans="1:11" s="74" customFormat="1" ht="36.6" customHeight="1" x14ac:dyDescent="0.25">
      <c r="A65" s="140">
        <v>55</v>
      </c>
      <c r="B65" s="49" t="s">
        <v>1871</v>
      </c>
      <c r="C65" s="15" t="s">
        <v>38</v>
      </c>
      <c r="D65" s="7" t="s">
        <v>662</v>
      </c>
      <c r="E65" s="14" t="s">
        <v>3297</v>
      </c>
      <c r="F65" s="13" t="s">
        <v>1051</v>
      </c>
      <c r="G65" s="13">
        <v>3</v>
      </c>
      <c r="H65" s="10">
        <v>0.12</v>
      </c>
      <c r="I65" s="10">
        <v>0.12</v>
      </c>
      <c r="J65" s="10">
        <v>0.35299999999999998</v>
      </c>
      <c r="K65" s="130">
        <f t="shared" si="1"/>
        <v>0.47299999999999998</v>
      </c>
    </row>
    <row r="66" spans="1:11" s="74" customFormat="1" ht="35.450000000000003" customHeight="1" x14ac:dyDescent="0.25">
      <c r="A66" s="140">
        <v>56</v>
      </c>
      <c r="B66" s="49" t="s">
        <v>1872</v>
      </c>
      <c r="C66" s="15" t="s">
        <v>38</v>
      </c>
      <c r="D66" s="7" t="s">
        <v>663</v>
      </c>
      <c r="E66" s="14" t="s">
        <v>3297</v>
      </c>
      <c r="F66" s="13" t="s">
        <v>1051</v>
      </c>
      <c r="G66" s="13">
        <v>3.5</v>
      </c>
      <c r="H66" s="10">
        <v>0</v>
      </c>
      <c r="I66" s="10">
        <v>0</v>
      </c>
      <c r="J66" s="10">
        <v>0.68799999999999994</v>
      </c>
      <c r="K66" s="130">
        <f t="shared" si="1"/>
        <v>0.68799999999999994</v>
      </c>
    </row>
    <row r="67" spans="1:11" s="74" customFormat="1" ht="30" customHeight="1" x14ac:dyDescent="0.25">
      <c r="A67" s="140">
        <v>57</v>
      </c>
      <c r="B67" s="49" t="s">
        <v>1873</v>
      </c>
      <c r="C67" s="15" t="s">
        <v>39</v>
      </c>
      <c r="D67" s="7" t="s">
        <v>664</v>
      </c>
      <c r="E67" s="14" t="s">
        <v>3297</v>
      </c>
      <c r="F67" s="13" t="s">
        <v>1051</v>
      </c>
      <c r="G67" s="13">
        <v>4</v>
      </c>
      <c r="H67" s="10">
        <f>0.686+0.856+0.663+2.25</f>
        <v>4.4550000000000001</v>
      </c>
      <c r="I67" s="10">
        <v>2.0640000000000001</v>
      </c>
      <c r="J67" s="10">
        <v>0</v>
      </c>
      <c r="K67" s="130">
        <f t="shared" si="1"/>
        <v>4.4550000000000001</v>
      </c>
    </row>
    <row r="68" spans="1:11" s="74" customFormat="1" ht="27" customHeight="1" x14ac:dyDescent="0.25">
      <c r="A68" s="140">
        <v>58</v>
      </c>
      <c r="B68" s="49" t="s">
        <v>1874</v>
      </c>
      <c r="C68" s="15" t="s">
        <v>39</v>
      </c>
      <c r="D68" s="7" t="s">
        <v>665</v>
      </c>
      <c r="E68" s="14" t="s">
        <v>3297</v>
      </c>
      <c r="F68" s="13" t="s">
        <v>1051</v>
      </c>
      <c r="G68" s="13">
        <v>4</v>
      </c>
      <c r="H68" s="10">
        <f>0.664+0.356+1.34</f>
        <v>2.3600000000000003</v>
      </c>
      <c r="I68" s="10">
        <v>0</v>
      </c>
      <c r="J68" s="10">
        <v>0</v>
      </c>
      <c r="K68" s="130">
        <f t="shared" si="1"/>
        <v>2.3600000000000003</v>
      </c>
    </row>
    <row r="69" spans="1:11" s="74" customFormat="1" ht="36" customHeight="1" x14ac:dyDescent="0.25">
      <c r="A69" s="140">
        <v>59</v>
      </c>
      <c r="B69" s="49" t="s">
        <v>1875</v>
      </c>
      <c r="C69" s="15" t="s">
        <v>38</v>
      </c>
      <c r="D69" s="7" t="s">
        <v>666</v>
      </c>
      <c r="E69" s="14" t="s">
        <v>3297</v>
      </c>
      <c r="F69" s="13" t="s">
        <v>1051</v>
      </c>
      <c r="G69" s="13">
        <v>3.5</v>
      </c>
      <c r="H69" s="10">
        <v>0</v>
      </c>
      <c r="I69" s="10">
        <v>0</v>
      </c>
      <c r="J69" s="10">
        <v>0.24</v>
      </c>
      <c r="K69" s="130">
        <f t="shared" si="1"/>
        <v>0.24</v>
      </c>
    </row>
    <row r="70" spans="1:11" s="74" customFormat="1" ht="32.450000000000003" customHeight="1" x14ac:dyDescent="0.25">
      <c r="A70" s="140">
        <v>60</v>
      </c>
      <c r="B70" s="49" t="s">
        <v>1876</v>
      </c>
      <c r="C70" s="15" t="s">
        <v>38</v>
      </c>
      <c r="D70" s="7" t="s">
        <v>667</v>
      </c>
      <c r="E70" s="14" t="s">
        <v>3297</v>
      </c>
      <c r="F70" s="13" t="s">
        <v>1051</v>
      </c>
      <c r="G70" s="13">
        <v>3</v>
      </c>
      <c r="H70" s="10">
        <v>0</v>
      </c>
      <c r="I70" s="10">
        <v>0</v>
      </c>
      <c r="J70" s="10">
        <v>0.33400000000000002</v>
      </c>
      <c r="K70" s="130">
        <f t="shared" si="1"/>
        <v>0.33400000000000002</v>
      </c>
    </row>
    <row r="71" spans="1:11" s="74" customFormat="1" ht="23.25" customHeight="1" x14ac:dyDescent="0.25">
      <c r="A71" s="140">
        <v>61</v>
      </c>
      <c r="B71" s="49" t="s">
        <v>1877</v>
      </c>
      <c r="C71" s="15" t="s">
        <v>38</v>
      </c>
      <c r="D71" s="7" t="s">
        <v>668</v>
      </c>
      <c r="E71" s="14" t="s">
        <v>3297</v>
      </c>
      <c r="F71" s="13" t="s">
        <v>1051</v>
      </c>
      <c r="G71" s="13">
        <v>3.5</v>
      </c>
      <c r="H71" s="10">
        <f>0.645+0.352</f>
        <v>0.997</v>
      </c>
      <c r="I71" s="10">
        <v>0</v>
      </c>
      <c r="J71" s="10">
        <v>6.5000000000000002E-2</v>
      </c>
      <c r="K71" s="130">
        <f t="shared" si="1"/>
        <v>1.0620000000000001</v>
      </c>
    </row>
    <row r="72" spans="1:11" s="74" customFormat="1" ht="39.6" customHeight="1" x14ac:dyDescent="0.25">
      <c r="A72" s="140">
        <v>62</v>
      </c>
      <c r="B72" s="49" t="s">
        <v>1878</v>
      </c>
      <c r="C72" s="15" t="s">
        <v>38</v>
      </c>
      <c r="D72" s="7" t="s">
        <v>669</v>
      </c>
      <c r="E72" s="14" t="s">
        <v>3297</v>
      </c>
      <c r="F72" s="13" t="s">
        <v>1051</v>
      </c>
      <c r="G72" s="13">
        <v>3.5</v>
      </c>
      <c r="H72" s="10">
        <v>0</v>
      </c>
      <c r="I72" s="10">
        <v>0</v>
      </c>
      <c r="J72" s="10">
        <v>3.5739999999999998</v>
      </c>
      <c r="K72" s="130">
        <f t="shared" si="1"/>
        <v>3.5739999999999998</v>
      </c>
    </row>
    <row r="73" spans="1:11" s="74" customFormat="1" ht="34.15" customHeight="1" x14ac:dyDescent="0.25">
      <c r="A73" s="140">
        <v>63</v>
      </c>
      <c r="B73" s="49" t="s">
        <v>1879</v>
      </c>
      <c r="C73" s="15" t="s">
        <v>38</v>
      </c>
      <c r="D73" s="7" t="s">
        <v>670</v>
      </c>
      <c r="E73" s="14" t="s">
        <v>3297</v>
      </c>
      <c r="F73" s="13" t="s">
        <v>1051</v>
      </c>
      <c r="G73" s="13">
        <v>4</v>
      </c>
      <c r="H73" s="10">
        <f>1.074+2.034</f>
        <v>3.1079999999999997</v>
      </c>
      <c r="I73" s="10">
        <v>2.0339999999999998</v>
      </c>
      <c r="J73" s="10">
        <v>0</v>
      </c>
      <c r="K73" s="130">
        <f t="shared" si="1"/>
        <v>3.1079999999999997</v>
      </c>
    </row>
    <row r="74" spans="1:11" s="74" customFormat="1" ht="27" customHeight="1" x14ac:dyDescent="0.25">
      <c r="A74" s="140">
        <v>64</v>
      </c>
      <c r="B74" s="49" t="s">
        <v>1880</v>
      </c>
      <c r="C74" s="15" t="s">
        <v>39</v>
      </c>
      <c r="D74" s="7" t="s">
        <v>671</v>
      </c>
      <c r="E74" s="14" t="s">
        <v>3297</v>
      </c>
      <c r="F74" s="13" t="s">
        <v>1051</v>
      </c>
      <c r="G74" s="13">
        <v>3</v>
      </c>
      <c r="H74" s="10">
        <v>2.0609999999999999</v>
      </c>
      <c r="I74" s="10">
        <v>0</v>
      </c>
      <c r="J74" s="10">
        <v>1.008</v>
      </c>
      <c r="K74" s="130">
        <f t="shared" si="1"/>
        <v>3.069</v>
      </c>
    </row>
    <row r="75" spans="1:11" s="74" customFormat="1" ht="27.6" customHeight="1" x14ac:dyDescent="0.25">
      <c r="A75" s="140">
        <v>65</v>
      </c>
      <c r="B75" s="49" t="s">
        <v>1881</v>
      </c>
      <c r="C75" s="15" t="s">
        <v>39</v>
      </c>
      <c r="D75" s="7" t="s">
        <v>672</v>
      </c>
      <c r="E75" s="14" t="s">
        <v>3297</v>
      </c>
      <c r="F75" s="13" t="s">
        <v>1051</v>
      </c>
      <c r="G75" s="13">
        <v>3</v>
      </c>
      <c r="H75" s="10">
        <v>0.43</v>
      </c>
      <c r="I75" s="10">
        <v>0</v>
      </c>
      <c r="J75" s="10">
        <v>0</v>
      </c>
      <c r="K75" s="130">
        <f t="shared" ref="K75:K106" si="2">J75+H75</f>
        <v>0.43</v>
      </c>
    </row>
    <row r="76" spans="1:11" s="74" customFormat="1" ht="33" customHeight="1" x14ac:dyDescent="0.25">
      <c r="A76" s="140">
        <v>66</v>
      </c>
      <c r="B76" s="49" t="s">
        <v>1882</v>
      </c>
      <c r="C76" s="15" t="s">
        <v>38</v>
      </c>
      <c r="D76" s="7" t="s">
        <v>673</v>
      </c>
      <c r="E76" s="14" t="s">
        <v>3297</v>
      </c>
      <c r="F76" s="13" t="s">
        <v>1051</v>
      </c>
      <c r="G76" s="13">
        <v>3</v>
      </c>
      <c r="H76" s="10">
        <v>0</v>
      </c>
      <c r="I76" s="10">
        <v>0</v>
      </c>
      <c r="J76" s="10">
        <v>0.28999999999999998</v>
      </c>
      <c r="K76" s="130">
        <f t="shared" si="2"/>
        <v>0.28999999999999998</v>
      </c>
    </row>
    <row r="77" spans="1:11" s="74" customFormat="1" ht="33" customHeight="1" x14ac:dyDescent="0.25">
      <c r="A77" s="140">
        <v>67</v>
      </c>
      <c r="B77" s="49" t="s">
        <v>1883</v>
      </c>
      <c r="C77" s="15" t="s">
        <v>38</v>
      </c>
      <c r="D77" s="7" t="s">
        <v>674</v>
      </c>
      <c r="E77" s="14" t="s">
        <v>3297</v>
      </c>
      <c r="F77" s="13" t="s">
        <v>1051</v>
      </c>
      <c r="G77" s="13">
        <v>3.5</v>
      </c>
      <c r="H77" s="10">
        <f>0.78+0.902</f>
        <v>1.6819999999999999</v>
      </c>
      <c r="I77" s="10">
        <v>0</v>
      </c>
      <c r="J77" s="10">
        <v>0</v>
      </c>
      <c r="K77" s="130">
        <f t="shared" si="2"/>
        <v>1.6819999999999999</v>
      </c>
    </row>
    <row r="78" spans="1:11" s="74" customFormat="1" ht="29.45" customHeight="1" x14ac:dyDescent="0.25">
      <c r="A78" s="140">
        <v>68</v>
      </c>
      <c r="B78" s="49" t="s">
        <v>1884</v>
      </c>
      <c r="C78" s="15" t="s">
        <v>39</v>
      </c>
      <c r="D78" s="7" t="s">
        <v>675</v>
      </c>
      <c r="E78" s="14" t="s">
        <v>3297</v>
      </c>
      <c r="F78" s="13" t="s">
        <v>1051</v>
      </c>
      <c r="G78" s="13">
        <v>4</v>
      </c>
      <c r="H78" s="10">
        <v>0.40600000000000003</v>
      </c>
      <c r="I78" s="10">
        <v>0.40600000000000003</v>
      </c>
      <c r="J78" s="10">
        <v>0</v>
      </c>
      <c r="K78" s="130">
        <f t="shared" si="2"/>
        <v>0.40600000000000003</v>
      </c>
    </row>
    <row r="79" spans="1:11" s="74" customFormat="1" ht="33" customHeight="1" x14ac:dyDescent="0.25">
      <c r="A79" s="140">
        <v>69</v>
      </c>
      <c r="B79" s="49" t="s">
        <v>1885</v>
      </c>
      <c r="C79" s="15" t="s">
        <v>39</v>
      </c>
      <c r="D79" s="7" t="s">
        <v>676</v>
      </c>
      <c r="E79" s="14" t="s">
        <v>3297</v>
      </c>
      <c r="F79" s="13" t="s">
        <v>1051</v>
      </c>
      <c r="G79" s="13">
        <v>4</v>
      </c>
      <c r="H79" s="10">
        <v>0.434</v>
      </c>
      <c r="I79" s="10">
        <v>0.434</v>
      </c>
      <c r="J79" s="10">
        <v>0</v>
      </c>
      <c r="K79" s="130">
        <f t="shared" si="2"/>
        <v>0.434</v>
      </c>
    </row>
    <row r="80" spans="1:11" s="74" customFormat="1" ht="28.15" customHeight="1" x14ac:dyDescent="0.25">
      <c r="A80" s="140">
        <v>70</v>
      </c>
      <c r="B80" s="49" t="s">
        <v>1886</v>
      </c>
      <c r="C80" s="15" t="s">
        <v>976</v>
      </c>
      <c r="D80" s="7" t="s">
        <v>677</v>
      </c>
      <c r="E80" s="14" t="s">
        <v>3297</v>
      </c>
      <c r="F80" s="13" t="s">
        <v>1051</v>
      </c>
      <c r="G80" s="13">
        <v>4</v>
      </c>
      <c r="H80" s="10">
        <v>0.70599999999999996</v>
      </c>
      <c r="I80" s="10">
        <v>0</v>
      </c>
      <c r="J80" s="10">
        <v>0</v>
      </c>
      <c r="K80" s="130">
        <f t="shared" si="2"/>
        <v>0.70599999999999996</v>
      </c>
    </row>
    <row r="81" spans="1:11" s="74" customFormat="1" ht="33.6" customHeight="1" x14ac:dyDescent="0.25">
      <c r="A81" s="140">
        <v>71</v>
      </c>
      <c r="B81" s="49" t="s">
        <v>1887</v>
      </c>
      <c r="C81" s="15" t="s">
        <v>38</v>
      </c>
      <c r="D81" s="7" t="s">
        <v>678</v>
      </c>
      <c r="E81" s="14" t="s">
        <v>3297</v>
      </c>
      <c r="F81" s="13" t="s">
        <v>1051</v>
      </c>
      <c r="G81" s="13">
        <v>3.5</v>
      </c>
      <c r="H81" s="10">
        <v>0</v>
      </c>
      <c r="I81" s="10">
        <v>0</v>
      </c>
      <c r="J81" s="10">
        <v>0.17</v>
      </c>
      <c r="K81" s="130">
        <f t="shared" si="2"/>
        <v>0.17</v>
      </c>
    </row>
    <row r="82" spans="1:11" s="74" customFormat="1" ht="34.15" customHeight="1" x14ac:dyDescent="0.25">
      <c r="A82" s="140">
        <v>72</v>
      </c>
      <c r="B82" s="49" t="s">
        <v>1888</v>
      </c>
      <c r="C82" s="15" t="s">
        <v>38</v>
      </c>
      <c r="D82" s="7" t="s">
        <v>679</v>
      </c>
      <c r="E82" s="14" t="s">
        <v>3297</v>
      </c>
      <c r="F82" s="13" t="s">
        <v>1051</v>
      </c>
      <c r="G82" s="13">
        <v>3.5</v>
      </c>
      <c r="H82" s="10">
        <v>0</v>
      </c>
      <c r="I82" s="10">
        <v>0</v>
      </c>
      <c r="J82" s="10">
        <v>0.34499999999999997</v>
      </c>
      <c r="K82" s="130">
        <f t="shared" si="2"/>
        <v>0.34499999999999997</v>
      </c>
    </row>
    <row r="83" spans="1:11" s="74" customFormat="1" ht="26.45" customHeight="1" x14ac:dyDescent="0.25">
      <c r="A83" s="140">
        <v>73</v>
      </c>
      <c r="B83" s="49" t="s">
        <v>1889</v>
      </c>
      <c r="C83" s="15" t="s">
        <v>39</v>
      </c>
      <c r="D83" s="7" t="s">
        <v>680</v>
      </c>
      <c r="E83" s="14" t="s">
        <v>3297</v>
      </c>
      <c r="F83" s="13" t="s">
        <v>1051</v>
      </c>
      <c r="G83" s="13">
        <v>3.5</v>
      </c>
      <c r="H83" s="10">
        <f>0.536+0.793</f>
        <v>1.3290000000000002</v>
      </c>
      <c r="I83" s="10">
        <v>0</v>
      </c>
      <c r="J83" s="10">
        <v>0</v>
      </c>
      <c r="K83" s="130">
        <f t="shared" si="2"/>
        <v>1.3290000000000002</v>
      </c>
    </row>
    <row r="84" spans="1:11" s="74" customFormat="1" ht="31.15" customHeight="1" x14ac:dyDescent="0.25">
      <c r="A84" s="140">
        <v>74</v>
      </c>
      <c r="B84" s="49" t="s">
        <v>1890</v>
      </c>
      <c r="C84" s="15" t="s">
        <v>39</v>
      </c>
      <c r="D84" s="7" t="s">
        <v>681</v>
      </c>
      <c r="E84" s="14" t="s">
        <v>3297</v>
      </c>
      <c r="F84" s="13" t="s">
        <v>1051</v>
      </c>
      <c r="G84" s="13">
        <v>4</v>
      </c>
      <c r="H84" s="10">
        <f>0.255+0.142+1.783</f>
        <v>2.1799999999999997</v>
      </c>
      <c r="I84" s="10">
        <v>0.255</v>
      </c>
      <c r="J84" s="10">
        <v>0</v>
      </c>
      <c r="K84" s="130">
        <f t="shared" si="2"/>
        <v>2.1799999999999997</v>
      </c>
    </row>
    <row r="85" spans="1:11" s="74" customFormat="1" ht="25.9" customHeight="1" x14ac:dyDescent="0.25">
      <c r="A85" s="140">
        <v>75</v>
      </c>
      <c r="B85" s="49" t="s">
        <v>1891</v>
      </c>
      <c r="C85" s="15" t="s">
        <v>39</v>
      </c>
      <c r="D85" s="7" t="s">
        <v>682</v>
      </c>
      <c r="E85" s="14" t="s">
        <v>3297</v>
      </c>
      <c r="F85" s="13" t="s">
        <v>1051</v>
      </c>
      <c r="G85" s="13">
        <v>4</v>
      </c>
      <c r="H85" s="10">
        <v>0.436</v>
      </c>
      <c r="I85" s="10">
        <v>0</v>
      </c>
      <c r="J85" s="10">
        <v>0</v>
      </c>
      <c r="K85" s="130">
        <f t="shared" si="2"/>
        <v>0.436</v>
      </c>
    </row>
    <row r="86" spans="1:11" s="74" customFormat="1" ht="31.15" customHeight="1" x14ac:dyDescent="0.25">
      <c r="A86" s="140">
        <v>76</v>
      </c>
      <c r="B86" s="49" t="s">
        <v>1892</v>
      </c>
      <c r="C86" s="15" t="s">
        <v>976</v>
      </c>
      <c r="D86" s="7" t="s">
        <v>683</v>
      </c>
      <c r="E86" s="14" t="s">
        <v>3297</v>
      </c>
      <c r="F86" s="13" t="s">
        <v>1051</v>
      </c>
      <c r="G86" s="13">
        <v>3.5</v>
      </c>
      <c r="H86" s="10">
        <v>0.26400000000000001</v>
      </c>
      <c r="I86" s="10">
        <v>0</v>
      </c>
      <c r="J86" s="10">
        <v>0</v>
      </c>
      <c r="K86" s="130">
        <f t="shared" si="2"/>
        <v>0.26400000000000001</v>
      </c>
    </row>
    <row r="87" spans="1:11" s="74" customFormat="1" ht="28.9" customHeight="1" x14ac:dyDescent="0.25">
      <c r="A87" s="140">
        <v>77</v>
      </c>
      <c r="B87" s="49" t="s">
        <v>1893</v>
      </c>
      <c r="C87" s="15" t="s">
        <v>39</v>
      </c>
      <c r="D87" s="7" t="s">
        <v>684</v>
      </c>
      <c r="E87" s="14" t="s">
        <v>3297</v>
      </c>
      <c r="F87" s="13" t="s">
        <v>1114</v>
      </c>
      <c r="G87" s="13">
        <v>6</v>
      </c>
      <c r="H87" s="10">
        <f>0.3+1.35</f>
        <v>1.6500000000000001</v>
      </c>
      <c r="I87" s="10">
        <v>0.3</v>
      </c>
      <c r="J87" s="10">
        <v>0</v>
      </c>
      <c r="K87" s="130">
        <f t="shared" si="2"/>
        <v>1.6500000000000001</v>
      </c>
    </row>
    <row r="88" spans="1:11" s="74" customFormat="1" ht="31.15" customHeight="1" x14ac:dyDescent="0.25">
      <c r="A88" s="140">
        <v>78</v>
      </c>
      <c r="B88" s="49" t="s">
        <v>1894</v>
      </c>
      <c r="C88" s="15" t="s">
        <v>38</v>
      </c>
      <c r="D88" s="7" t="s">
        <v>686</v>
      </c>
      <c r="E88" s="14" t="s">
        <v>3297</v>
      </c>
      <c r="F88" s="13" t="s">
        <v>1051</v>
      </c>
      <c r="G88" s="13">
        <v>4.5</v>
      </c>
      <c r="H88" s="10">
        <v>1.393</v>
      </c>
      <c r="I88" s="10">
        <v>1.393</v>
      </c>
      <c r="J88" s="10">
        <v>0</v>
      </c>
      <c r="K88" s="130">
        <f t="shared" si="2"/>
        <v>1.393</v>
      </c>
    </row>
    <row r="89" spans="1:11" s="74" customFormat="1" ht="28.9" customHeight="1" x14ac:dyDescent="0.25">
      <c r="A89" s="140">
        <v>79</v>
      </c>
      <c r="B89" s="49" t="s">
        <v>1895</v>
      </c>
      <c r="C89" s="15" t="s">
        <v>38</v>
      </c>
      <c r="D89" s="7" t="s">
        <v>687</v>
      </c>
      <c r="E89" s="14" t="s">
        <v>3297</v>
      </c>
      <c r="F89" s="13" t="s">
        <v>1051</v>
      </c>
      <c r="G89" s="13">
        <v>4</v>
      </c>
      <c r="H89" s="10">
        <v>0.216</v>
      </c>
      <c r="I89" s="10">
        <v>0.216</v>
      </c>
      <c r="J89" s="10">
        <v>0</v>
      </c>
      <c r="K89" s="130">
        <f t="shared" si="2"/>
        <v>0.216</v>
      </c>
    </row>
    <row r="90" spans="1:11" s="74" customFormat="1" ht="30" customHeight="1" x14ac:dyDescent="0.25">
      <c r="A90" s="140">
        <v>80</v>
      </c>
      <c r="B90" s="49" t="s">
        <v>1896</v>
      </c>
      <c r="C90" s="15" t="s">
        <v>38</v>
      </c>
      <c r="D90" s="7" t="s">
        <v>688</v>
      </c>
      <c r="E90" s="14" t="s">
        <v>3297</v>
      </c>
      <c r="F90" s="13" t="s">
        <v>1051</v>
      </c>
      <c r="G90" s="13">
        <v>4</v>
      </c>
      <c r="H90" s="10">
        <v>0.96099999999999997</v>
      </c>
      <c r="I90" s="10">
        <v>0.96099999999999997</v>
      </c>
      <c r="J90" s="10">
        <v>1.7310000000000001</v>
      </c>
      <c r="K90" s="130">
        <f t="shared" si="2"/>
        <v>2.6920000000000002</v>
      </c>
    </row>
    <row r="91" spans="1:11" s="74" customFormat="1" ht="31.15" customHeight="1" x14ac:dyDescent="0.25">
      <c r="A91" s="140">
        <v>81</v>
      </c>
      <c r="B91" s="49" t="s">
        <v>1897</v>
      </c>
      <c r="C91" s="15" t="s">
        <v>38</v>
      </c>
      <c r="D91" s="7" t="s">
        <v>689</v>
      </c>
      <c r="E91" s="14" t="s">
        <v>3297</v>
      </c>
      <c r="F91" s="13" t="s">
        <v>1051</v>
      </c>
      <c r="G91" s="13">
        <v>3</v>
      </c>
      <c r="H91" s="10">
        <v>0</v>
      </c>
      <c r="I91" s="10">
        <v>0</v>
      </c>
      <c r="J91" s="10">
        <v>1.431</v>
      </c>
      <c r="K91" s="130">
        <f t="shared" si="2"/>
        <v>1.431</v>
      </c>
    </row>
    <row r="92" spans="1:11" s="74" customFormat="1" ht="34.9" customHeight="1" x14ac:dyDescent="0.25">
      <c r="A92" s="140">
        <v>82</v>
      </c>
      <c r="B92" s="49" t="s">
        <v>1898</v>
      </c>
      <c r="C92" s="15" t="s">
        <v>38</v>
      </c>
      <c r="D92" s="7" t="s">
        <v>690</v>
      </c>
      <c r="E92" s="14" t="s">
        <v>3297</v>
      </c>
      <c r="F92" s="13" t="s">
        <v>1051</v>
      </c>
      <c r="G92" s="13">
        <v>4.5</v>
      </c>
      <c r="H92" s="10">
        <v>0.33</v>
      </c>
      <c r="I92" s="10">
        <v>0</v>
      </c>
      <c r="J92" s="10">
        <v>0</v>
      </c>
      <c r="K92" s="130">
        <f t="shared" si="2"/>
        <v>0.33</v>
      </c>
    </row>
    <row r="93" spans="1:11" s="74" customFormat="1" ht="31.15" customHeight="1" x14ac:dyDescent="0.25">
      <c r="A93" s="140">
        <v>83</v>
      </c>
      <c r="B93" s="49" t="s">
        <v>1899</v>
      </c>
      <c r="C93" s="15" t="s">
        <v>38</v>
      </c>
      <c r="D93" s="7" t="s">
        <v>691</v>
      </c>
      <c r="E93" s="14" t="s">
        <v>3297</v>
      </c>
      <c r="F93" s="13" t="s">
        <v>1051</v>
      </c>
      <c r="G93" s="13">
        <v>4</v>
      </c>
      <c r="H93" s="10">
        <v>0.38700000000000001</v>
      </c>
      <c r="I93" s="10">
        <v>0.38700000000000001</v>
      </c>
      <c r="J93" s="10">
        <v>0</v>
      </c>
      <c r="K93" s="130">
        <f t="shared" si="2"/>
        <v>0.38700000000000001</v>
      </c>
    </row>
    <row r="94" spans="1:11" s="74" customFormat="1" ht="31.9" customHeight="1" x14ac:dyDescent="0.25">
      <c r="A94" s="140">
        <v>84</v>
      </c>
      <c r="B94" s="49" t="s">
        <v>1900</v>
      </c>
      <c r="C94" s="15" t="s">
        <v>38</v>
      </c>
      <c r="D94" s="7" t="s">
        <v>692</v>
      </c>
      <c r="E94" s="14" t="s">
        <v>3297</v>
      </c>
      <c r="F94" s="13" t="s">
        <v>1051</v>
      </c>
      <c r="G94" s="13">
        <v>3.5</v>
      </c>
      <c r="H94" s="10">
        <v>0.52</v>
      </c>
      <c r="I94" s="10">
        <v>0</v>
      </c>
      <c r="J94" s="10">
        <v>6.1950000000000003</v>
      </c>
      <c r="K94" s="130">
        <f t="shared" si="2"/>
        <v>6.7149999999999999</v>
      </c>
    </row>
    <row r="95" spans="1:11" s="74" customFormat="1" ht="31.9" customHeight="1" x14ac:dyDescent="0.25">
      <c r="A95" s="140">
        <v>85</v>
      </c>
      <c r="B95" s="49" t="s">
        <v>1901</v>
      </c>
      <c r="C95" s="15" t="s">
        <v>38</v>
      </c>
      <c r="D95" s="7" t="s">
        <v>693</v>
      </c>
      <c r="E95" s="14" t="s">
        <v>3297</v>
      </c>
      <c r="F95" s="13" t="s">
        <v>1051</v>
      </c>
      <c r="G95" s="13">
        <v>3.5</v>
      </c>
      <c r="H95" s="10">
        <v>0</v>
      </c>
      <c r="I95" s="10">
        <v>0</v>
      </c>
      <c r="J95" s="10">
        <v>3.5539999999999998</v>
      </c>
      <c r="K95" s="130">
        <f t="shared" si="2"/>
        <v>3.5539999999999998</v>
      </c>
    </row>
    <row r="96" spans="1:11" s="74" customFormat="1" ht="33" customHeight="1" x14ac:dyDescent="0.25">
      <c r="A96" s="140">
        <v>86</v>
      </c>
      <c r="B96" s="49" t="s">
        <v>1902</v>
      </c>
      <c r="C96" s="15" t="s">
        <v>38</v>
      </c>
      <c r="D96" s="7" t="s">
        <v>694</v>
      </c>
      <c r="E96" s="14" t="s">
        <v>3297</v>
      </c>
      <c r="F96" s="13" t="s">
        <v>1051</v>
      </c>
      <c r="G96" s="13">
        <v>3.5</v>
      </c>
      <c r="H96" s="10">
        <v>0</v>
      </c>
      <c r="I96" s="10">
        <v>0</v>
      </c>
      <c r="J96" s="10">
        <v>2.1150000000000002</v>
      </c>
      <c r="K96" s="130">
        <f t="shared" si="2"/>
        <v>2.1150000000000002</v>
      </c>
    </row>
    <row r="97" spans="1:11" s="74" customFormat="1" ht="27" customHeight="1" x14ac:dyDescent="0.25">
      <c r="A97" s="140">
        <v>87</v>
      </c>
      <c r="B97" s="49" t="s">
        <v>1903</v>
      </c>
      <c r="C97" s="15" t="s">
        <v>38</v>
      </c>
      <c r="D97" s="7" t="s">
        <v>695</v>
      </c>
      <c r="E97" s="14" t="s">
        <v>3297</v>
      </c>
      <c r="F97" s="13" t="s">
        <v>1051</v>
      </c>
      <c r="G97" s="13">
        <v>3.5</v>
      </c>
      <c r="H97" s="10">
        <v>0</v>
      </c>
      <c r="I97" s="10">
        <v>0</v>
      </c>
      <c r="J97" s="10">
        <v>0.44600000000000001</v>
      </c>
      <c r="K97" s="130">
        <f t="shared" si="2"/>
        <v>0.44600000000000001</v>
      </c>
    </row>
    <row r="98" spans="1:11" s="74" customFormat="1" ht="31.15" customHeight="1" x14ac:dyDescent="0.25">
      <c r="A98" s="140">
        <v>88</v>
      </c>
      <c r="B98" s="49" t="s">
        <v>1904</v>
      </c>
      <c r="C98" s="15" t="s">
        <v>38</v>
      </c>
      <c r="D98" s="7" t="s">
        <v>696</v>
      </c>
      <c r="E98" s="14" t="s">
        <v>3297</v>
      </c>
      <c r="F98" s="13" t="s">
        <v>1051</v>
      </c>
      <c r="G98" s="13">
        <v>3.5</v>
      </c>
      <c r="H98" s="10">
        <v>0</v>
      </c>
      <c r="I98" s="10">
        <v>0</v>
      </c>
      <c r="J98" s="10">
        <v>2.2000000000000002</v>
      </c>
      <c r="K98" s="130">
        <f t="shared" si="2"/>
        <v>2.2000000000000002</v>
      </c>
    </row>
    <row r="99" spans="1:11" s="74" customFormat="1" ht="32.450000000000003" customHeight="1" x14ac:dyDescent="0.25">
      <c r="A99" s="140">
        <v>89</v>
      </c>
      <c r="B99" s="49" t="s">
        <v>1905</v>
      </c>
      <c r="C99" s="15" t="s">
        <v>38</v>
      </c>
      <c r="D99" s="7" t="s">
        <v>697</v>
      </c>
      <c r="E99" s="14" t="s">
        <v>3297</v>
      </c>
      <c r="F99" s="13" t="s">
        <v>1051</v>
      </c>
      <c r="G99" s="13">
        <v>3.5</v>
      </c>
      <c r="H99" s="10">
        <v>0</v>
      </c>
      <c r="I99" s="10">
        <v>0</v>
      </c>
      <c r="J99" s="10">
        <v>0.70199999999999996</v>
      </c>
      <c r="K99" s="130">
        <f t="shared" si="2"/>
        <v>0.70199999999999996</v>
      </c>
    </row>
    <row r="100" spans="1:11" s="74" customFormat="1" ht="29.45" customHeight="1" x14ac:dyDescent="0.25">
      <c r="A100" s="140">
        <v>90</v>
      </c>
      <c r="B100" s="49" t="s">
        <v>1906</v>
      </c>
      <c r="C100" s="15" t="s">
        <v>38</v>
      </c>
      <c r="D100" s="7" t="s">
        <v>698</v>
      </c>
      <c r="E100" s="14" t="s">
        <v>3297</v>
      </c>
      <c r="F100" s="13" t="s">
        <v>1051</v>
      </c>
      <c r="G100" s="13">
        <v>3.5</v>
      </c>
      <c r="H100" s="10">
        <v>3.2509999999999999</v>
      </c>
      <c r="I100" s="10">
        <v>0</v>
      </c>
      <c r="J100" s="10">
        <v>0</v>
      </c>
      <c r="K100" s="130">
        <f t="shared" si="2"/>
        <v>3.2509999999999999</v>
      </c>
    </row>
    <row r="101" spans="1:11" s="74" customFormat="1" ht="28.15" customHeight="1" x14ac:dyDescent="0.25">
      <c r="A101" s="140">
        <v>91</v>
      </c>
      <c r="B101" s="49" t="s">
        <v>1907</v>
      </c>
      <c r="C101" s="15" t="s">
        <v>38</v>
      </c>
      <c r="D101" s="7" t="s">
        <v>699</v>
      </c>
      <c r="E101" s="14" t="s">
        <v>3297</v>
      </c>
      <c r="F101" s="13" t="s">
        <v>1051</v>
      </c>
      <c r="G101" s="13">
        <v>3.5</v>
      </c>
      <c r="H101" s="10">
        <v>0.97</v>
      </c>
      <c r="I101" s="10">
        <v>0</v>
      </c>
      <c r="J101" s="10">
        <v>0</v>
      </c>
      <c r="K101" s="130">
        <f t="shared" si="2"/>
        <v>0.97</v>
      </c>
    </row>
    <row r="102" spans="1:11" s="74" customFormat="1" ht="30" customHeight="1" x14ac:dyDescent="0.25">
      <c r="A102" s="140">
        <v>92</v>
      </c>
      <c r="B102" s="49" t="s">
        <v>1908</v>
      </c>
      <c r="C102" s="15" t="s">
        <v>38</v>
      </c>
      <c r="D102" s="7" t="s">
        <v>700</v>
      </c>
      <c r="E102" s="14" t="s">
        <v>3297</v>
      </c>
      <c r="F102" s="13" t="s">
        <v>1051</v>
      </c>
      <c r="G102" s="13">
        <v>3.5</v>
      </c>
      <c r="H102" s="10">
        <v>0</v>
      </c>
      <c r="I102" s="10">
        <v>0</v>
      </c>
      <c r="J102" s="10">
        <v>6.843</v>
      </c>
      <c r="K102" s="130">
        <f t="shared" si="2"/>
        <v>6.843</v>
      </c>
    </row>
    <row r="103" spans="1:11" s="74" customFormat="1" ht="34.5" customHeight="1" x14ac:dyDescent="0.25">
      <c r="A103" s="140">
        <v>93</v>
      </c>
      <c r="B103" s="49" t="s">
        <v>1909</v>
      </c>
      <c r="C103" s="15" t="s">
        <v>38</v>
      </c>
      <c r="D103" s="7" t="s">
        <v>701</v>
      </c>
      <c r="E103" s="14" t="s">
        <v>3297</v>
      </c>
      <c r="F103" s="13" t="s">
        <v>1051</v>
      </c>
      <c r="G103" s="13">
        <v>3.5</v>
      </c>
      <c r="H103" s="10">
        <v>0</v>
      </c>
      <c r="I103" s="10">
        <v>0</v>
      </c>
      <c r="J103" s="10">
        <v>3.7080000000000002</v>
      </c>
      <c r="K103" s="130">
        <f t="shared" si="2"/>
        <v>3.7080000000000002</v>
      </c>
    </row>
    <row r="104" spans="1:11" s="74" customFormat="1" ht="31.9" customHeight="1" x14ac:dyDescent="0.25">
      <c r="A104" s="140">
        <v>94</v>
      </c>
      <c r="B104" s="49" t="s">
        <v>1910</v>
      </c>
      <c r="C104" s="15" t="s">
        <v>38</v>
      </c>
      <c r="D104" s="7" t="s">
        <v>702</v>
      </c>
      <c r="E104" s="14" t="s">
        <v>3297</v>
      </c>
      <c r="F104" s="13" t="s">
        <v>1051</v>
      </c>
      <c r="G104" s="13">
        <v>3.5</v>
      </c>
      <c r="H104" s="10">
        <v>0</v>
      </c>
      <c r="I104" s="10">
        <v>0</v>
      </c>
      <c r="J104" s="10">
        <v>3.5720000000000001</v>
      </c>
      <c r="K104" s="130">
        <f t="shared" si="2"/>
        <v>3.5720000000000001</v>
      </c>
    </row>
    <row r="105" spans="1:11" s="74" customFormat="1" ht="31.9" customHeight="1" x14ac:dyDescent="0.25">
      <c r="A105" s="140">
        <v>95</v>
      </c>
      <c r="B105" s="49" t="s">
        <v>1911</v>
      </c>
      <c r="C105" s="15" t="s">
        <v>38</v>
      </c>
      <c r="D105" s="7" t="s">
        <v>703</v>
      </c>
      <c r="E105" s="14" t="s">
        <v>3297</v>
      </c>
      <c r="F105" s="13" t="s">
        <v>1051</v>
      </c>
      <c r="G105" s="13">
        <v>3.5</v>
      </c>
      <c r="H105" s="10">
        <v>0</v>
      </c>
      <c r="I105" s="10">
        <v>0</v>
      </c>
      <c r="J105" s="10">
        <v>1.909</v>
      </c>
      <c r="K105" s="130">
        <f t="shared" si="2"/>
        <v>1.909</v>
      </c>
    </row>
    <row r="106" spans="1:11" s="74" customFormat="1" ht="32.450000000000003" customHeight="1" x14ac:dyDescent="0.25">
      <c r="A106" s="140">
        <v>96</v>
      </c>
      <c r="B106" s="49" t="s">
        <v>1912</v>
      </c>
      <c r="C106" s="15" t="s">
        <v>38</v>
      </c>
      <c r="D106" s="7" t="s">
        <v>985</v>
      </c>
      <c r="E106" s="14" t="s">
        <v>3297</v>
      </c>
      <c r="F106" s="13" t="s">
        <v>1051</v>
      </c>
      <c r="G106" s="13">
        <v>3.5</v>
      </c>
      <c r="H106" s="10">
        <v>0</v>
      </c>
      <c r="I106" s="10">
        <v>0</v>
      </c>
      <c r="J106" s="10">
        <v>7.9809999999999999</v>
      </c>
      <c r="K106" s="130">
        <f t="shared" si="2"/>
        <v>7.9809999999999999</v>
      </c>
    </row>
    <row r="107" spans="1:11" s="74" customFormat="1" ht="32.450000000000003" customHeight="1" x14ac:dyDescent="0.25">
      <c r="A107" s="140">
        <v>97</v>
      </c>
      <c r="B107" s="49" t="s">
        <v>1913</v>
      </c>
      <c r="C107" s="15" t="s">
        <v>38</v>
      </c>
      <c r="D107" s="7" t="s">
        <v>1000</v>
      </c>
      <c r="E107" s="14" t="s">
        <v>3297</v>
      </c>
      <c r="F107" s="13" t="s">
        <v>1051</v>
      </c>
      <c r="G107" s="13">
        <v>3.5</v>
      </c>
      <c r="H107" s="10">
        <v>0</v>
      </c>
      <c r="I107" s="10">
        <v>0</v>
      </c>
      <c r="J107" s="10">
        <v>6.2679999999999998</v>
      </c>
      <c r="K107" s="130">
        <f t="shared" ref="K107" si="3">J107+H107</f>
        <v>6.2679999999999998</v>
      </c>
    </row>
  </sheetData>
  <sheetProtection insertRows="0" deleteRows="0" sort="0"/>
  <mergeCells count="10">
    <mergeCell ref="A7:A8"/>
    <mergeCell ref="B7:B8"/>
    <mergeCell ref="C7:C8"/>
    <mergeCell ref="D7:D8"/>
    <mergeCell ref="E7:E8"/>
    <mergeCell ref="K7:K8"/>
    <mergeCell ref="G7:G8"/>
    <mergeCell ref="F7:F8"/>
    <mergeCell ref="H7:J7"/>
    <mergeCell ref="C1:I1"/>
  </mergeCells>
  <conditionalFormatting sqref="K11:K107">
    <cfRule type="expression" dxfId="36" priority="2">
      <formula>$H11+$J11&lt;&gt;$K11</formula>
    </cfRule>
  </conditionalFormatting>
  <conditionalFormatting sqref="H10:K10">
    <cfRule type="expression" dxfId="35" priority="247">
      <formula>H$10&lt;&gt;SUM(H$11:H$107)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opLeftCell="A58" zoomScaleNormal="100" zoomScaleSheetLayoutView="100" workbookViewId="0">
      <selection activeCell="J45" sqref="J45"/>
    </sheetView>
  </sheetViews>
  <sheetFormatPr defaultColWidth="9.140625" defaultRowHeight="15" x14ac:dyDescent="0.25"/>
  <cols>
    <col min="1" max="1" width="7.140625" style="80" customWidth="1"/>
    <col min="2" max="2" width="23.85546875" style="80" customWidth="1"/>
    <col min="3" max="3" width="11.5703125" style="80" customWidth="1"/>
    <col min="4" max="4" width="34.140625" style="80" customWidth="1"/>
    <col min="5" max="5" width="22.7109375" style="80" customWidth="1"/>
    <col min="6" max="6" width="10.42578125" style="79" customWidth="1"/>
    <col min="7" max="7" width="10.42578125" style="80" customWidth="1"/>
    <col min="8" max="8" width="12" style="80" customWidth="1"/>
    <col min="9" max="9" width="15.5703125" style="80" customWidth="1"/>
    <col min="10" max="10" width="11.5703125" style="80" customWidth="1"/>
    <col min="11" max="11" width="15.140625" style="85" customWidth="1"/>
    <col min="12" max="16384" width="9.140625" style="80"/>
  </cols>
  <sheetData>
    <row r="1" spans="1:11" s="4" customFormat="1" ht="28.9" customHeight="1" x14ac:dyDescent="0.25">
      <c r="B1" s="5"/>
      <c r="C1" s="180" t="s">
        <v>3197</v>
      </c>
      <c r="D1" s="180"/>
      <c r="E1" s="180"/>
      <c r="F1" s="180"/>
      <c r="G1" s="180"/>
      <c r="H1" s="180"/>
      <c r="I1" s="180"/>
      <c r="J1" s="5"/>
    </row>
    <row r="2" spans="1:11" s="4" customFormat="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s="4" customFormat="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s="4" customFormat="1" x14ac:dyDescent="0.25">
      <c r="C4" s="152"/>
      <c r="D4" s="152"/>
      <c r="E4" s="152"/>
      <c r="F4" s="152"/>
      <c r="G4" s="152"/>
      <c r="H4" s="152"/>
      <c r="I4" s="152"/>
      <c r="K4" s="153" t="s">
        <v>3195</v>
      </c>
    </row>
    <row r="5" spans="1:11" s="4" customFormat="1" x14ac:dyDescent="0.25">
      <c r="K5" s="153" t="s">
        <v>3196</v>
      </c>
    </row>
    <row r="7" spans="1:11" s="74" customFormat="1" ht="41.25" customHeight="1" x14ac:dyDescent="0.25">
      <c r="A7" s="171" t="s">
        <v>15</v>
      </c>
      <c r="B7" s="171" t="s">
        <v>0</v>
      </c>
      <c r="C7" s="171" t="s">
        <v>13</v>
      </c>
      <c r="D7" s="171" t="s">
        <v>1</v>
      </c>
      <c r="E7" s="171" t="s">
        <v>6</v>
      </c>
      <c r="F7" s="171" t="s">
        <v>14</v>
      </c>
      <c r="G7" s="171" t="s">
        <v>958</v>
      </c>
      <c r="H7" s="173" t="s">
        <v>16</v>
      </c>
      <c r="I7" s="173"/>
      <c r="J7" s="172"/>
      <c r="K7" s="171" t="s">
        <v>1029</v>
      </c>
    </row>
    <row r="8" spans="1:11" s="74" customFormat="1" ht="60" customHeight="1" x14ac:dyDescent="0.25">
      <c r="A8" s="172"/>
      <c r="B8" s="172"/>
      <c r="C8" s="172"/>
      <c r="D8" s="172"/>
      <c r="E8" s="172"/>
      <c r="F8" s="172"/>
      <c r="G8" s="171"/>
      <c r="H8" s="65" t="s">
        <v>3</v>
      </c>
      <c r="I8" s="65" t="s">
        <v>24</v>
      </c>
      <c r="J8" s="67" t="s">
        <v>4</v>
      </c>
      <c r="K8" s="182"/>
    </row>
    <row r="9" spans="1:11" s="74" customFormat="1" ht="21.75" customHeight="1" x14ac:dyDescent="0.25">
      <c r="A9" s="131">
        <v>1</v>
      </c>
      <c r="B9" s="131">
        <v>2</v>
      </c>
      <c r="C9" s="131">
        <v>3</v>
      </c>
      <c r="D9" s="131">
        <v>4</v>
      </c>
      <c r="E9" s="131">
        <v>5</v>
      </c>
      <c r="F9" s="132">
        <v>6</v>
      </c>
      <c r="G9" s="132">
        <v>7</v>
      </c>
      <c r="H9" s="132">
        <v>8</v>
      </c>
      <c r="I9" s="131">
        <v>9</v>
      </c>
      <c r="J9" s="131">
        <v>10</v>
      </c>
      <c r="K9" s="50">
        <v>11</v>
      </c>
    </row>
    <row r="10" spans="1:11" s="74" customFormat="1" ht="29.25" customHeight="1" x14ac:dyDescent="0.25">
      <c r="A10" s="133" t="s">
        <v>2</v>
      </c>
      <c r="B10" s="134"/>
      <c r="C10" s="134"/>
      <c r="D10" s="134"/>
      <c r="E10" s="134"/>
      <c r="F10" s="136"/>
      <c r="G10" s="135"/>
      <c r="H10" s="36">
        <f>SUM(H11:H57)</f>
        <v>27.422999999999995</v>
      </c>
      <c r="I10" s="36">
        <f>SUM(I11:I57)</f>
        <v>14.199000000000002</v>
      </c>
      <c r="J10" s="36">
        <f>SUM(J11:J57)</f>
        <v>25.326000000000001</v>
      </c>
      <c r="K10" s="130">
        <f>SUM(K11:K57)</f>
        <v>52.749000000000009</v>
      </c>
    </row>
    <row r="11" spans="1:11" s="74" customFormat="1" ht="29.25" customHeight="1" x14ac:dyDescent="0.25">
      <c r="A11" s="67">
        <v>1</v>
      </c>
      <c r="B11" s="49" t="s">
        <v>1914</v>
      </c>
      <c r="C11" s="15" t="s">
        <v>39</v>
      </c>
      <c r="D11" s="7" t="s">
        <v>832</v>
      </c>
      <c r="E11" s="14" t="s">
        <v>1019</v>
      </c>
      <c r="F11" s="67" t="s">
        <v>1051</v>
      </c>
      <c r="G11" s="13">
        <v>4</v>
      </c>
      <c r="H11" s="10">
        <v>0.74</v>
      </c>
      <c r="I11" s="10">
        <v>0.74</v>
      </c>
      <c r="J11" s="10">
        <v>0</v>
      </c>
      <c r="K11" s="130">
        <f>SUM(J11,H11)</f>
        <v>0.74</v>
      </c>
    </row>
    <row r="12" spans="1:11" s="74" customFormat="1" ht="24.6" customHeight="1" x14ac:dyDescent="0.25">
      <c r="A12" s="67">
        <v>2</v>
      </c>
      <c r="B12" s="49" t="s">
        <v>1915</v>
      </c>
      <c r="C12" s="15" t="s">
        <v>39</v>
      </c>
      <c r="D12" s="7" t="s">
        <v>833</v>
      </c>
      <c r="E12" s="14" t="s">
        <v>1019</v>
      </c>
      <c r="F12" s="67" t="s">
        <v>1051</v>
      </c>
      <c r="G12" s="13">
        <v>4</v>
      </c>
      <c r="H12" s="10">
        <v>0.50700000000000001</v>
      </c>
      <c r="I12" s="10">
        <v>0.50700000000000001</v>
      </c>
      <c r="J12" s="10">
        <v>0</v>
      </c>
      <c r="K12" s="130">
        <f t="shared" ref="K12:K57" si="0">SUM(J12,H12)</f>
        <v>0.50700000000000001</v>
      </c>
    </row>
    <row r="13" spans="1:11" s="74" customFormat="1" ht="32.450000000000003" customHeight="1" x14ac:dyDescent="0.25">
      <c r="A13" s="140">
        <v>3</v>
      </c>
      <c r="B13" s="49" t="s">
        <v>1916</v>
      </c>
      <c r="C13" s="15" t="s">
        <v>39</v>
      </c>
      <c r="D13" s="7" t="s">
        <v>834</v>
      </c>
      <c r="E13" s="14" t="s">
        <v>1019</v>
      </c>
      <c r="F13" s="67" t="s">
        <v>1051</v>
      </c>
      <c r="G13" s="13">
        <v>3.5</v>
      </c>
      <c r="H13" s="10">
        <f>0.741</f>
        <v>0.74099999999999999</v>
      </c>
      <c r="I13" s="10">
        <v>0</v>
      </c>
      <c r="J13" s="10">
        <v>0.57099999999999995</v>
      </c>
      <c r="K13" s="130">
        <f t="shared" si="0"/>
        <v>1.3119999999999998</v>
      </c>
    </row>
    <row r="14" spans="1:11" s="74" customFormat="1" ht="30" customHeight="1" x14ac:dyDescent="0.25">
      <c r="A14" s="140">
        <v>4</v>
      </c>
      <c r="B14" s="49" t="s">
        <v>1917</v>
      </c>
      <c r="C14" s="15" t="s">
        <v>39</v>
      </c>
      <c r="D14" s="7" t="s">
        <v>835</v>
      </c>
      <c r="E14" s="14" t="s">
        <v>1019</v>
      </c>
      <c r="F14" s="67" t="s">
        <v>1051</v>
      </c>
      <c r="G14" s="13">
        <v>3.5</v>
      </c>
      <c r="H14" s="10">
        <v>0.105</v>
      </c>
      <c r="I14" s="10">
        <v>0</v>
      </c>
      <c r="J14" s="10">
        <v>0</v>
      </c>
      <c r="K14" s="130">
        <f t="shared" si="0"/>
        <v>0.105</v>
      </c>
    </row>
    <row r="15" spans="1:11" s="74" customFormat="1" ht="27.6" customHeight="1" x14ac:dyDescent="0.25">
      <c r="A15" s="140">
        <v>5</v>
      </c>
      <c r="B15" s="49" t="s">
        <v>1918</v>
      </c>
      <c r="C15" s="15" t="s">
        <v>39</v>
      </c>
      <c r="D15" s="7" t="s">
        <v>836</v>
      </c>
      <c r="E15" s="14" t="s">
        <v>1019</v>
      </c>
      <c r="F15" s="67" t="s">
        <v>1051</v>
      </c>
      <c r="G15" s="13">
        <v>4</v>
      </c>
      <c r="H15" s="10">
        <v>0.48</v>
      </c>
      <c r="I15" s="10">
        <v>0.48</v>
      </c>
      <c r="J15" s="10">
        <v>0</v>
      </c>
      <c r="K15" s="130">
        <f t="shared" si="0"/>
        <v>0.48</v>
      </c>
    </row>
    <row r="16" spans="1:11" s="74" customFormat="1" ht="31.9" customHeight="1" x14ac:dyDescent="0.25">
      <c r="A16" s="140">
        <v>6</v>
      </c>
      <c r="B16" s="49" t="s">
        <v>1919</v>
      </c>
      <c r="C16" s="15" t="s">
        <v>39</v>
      </c>
      <c r="D16" s="7" t="s">
        <v>837</v>
      </c>
      <c r="E16" s="14" t="s">
        <v>1019</v>
      </c>
      <c r="F16" s="67" t="s">
        <v>1051</v>
      </c>
      <c r="G16" s="13">
        <v>4</v>
      </c>
      <c r="H16" s="10">
        <f>0.67+0.11</f>
        <v>0.78</v>
      </c>
      <c r="I16" s="10">
        <v>0.78</v>
      </c>
      <c r="J16" s="10">
        <v>0</v>
      </c>
      <c r="K16" s="130">
        <f t="shared" si="0"/>
        <v>0.78</v>
      </c>
    </row>
    <row r="17" spans="1:11" s="74" customFormat="1" ht="31.9" customHeight="1" x14ac:dyDescent="0.25">
      <c r="A17" s="140">
        <v>7</v>
      </c>
      <c r="B17" s="49" t="s">
        <v>1920</v>
      </c>
      <c r="C17" s="15" t="s">
        <v>38</v>
      </c>
      <c r="D17" s="7" t="s">
        <v>838</v>
      </c>
      <c r="E17" s="14" t="s">
        <v>1019</v>
      </c>
      <c r="F17" s="67" t="s">
        <v>1051</v>
      </c>
      <c r="G17" s="13">
        <v>3.5</v>
      </c>
      <c r="H17" s="10">
        <v>0</v>
      </c>
      <c r="I17" s="10">
        <v>0</v>
      </c>
      <c r="J17" s="10">
        <v>0.14299999999999999</v>
      </c>
      <c r="K17" s="130">
        <f t="shared" si="0"/>
        <v>0.14299999999999999</v>
      </c>
    </row>
    <row r="18" spans="1:11" s="74" customFormat="1" ht="33" customHeight="1" x14ac:dyDescent="0.25">
      <c r="A18" s="140">
        <v>8</v>
      </c>
      <c r="B18" s="49" t="s">
        <v>1921</v>
      </c>
      <c r="C18" s="15" t="s">
        <v>976</v>
      </c>
      <c r="D18" s="7" t="s">
        <v>839</v>
      </c>
      <c r="E18" s="14" t="s">
        <v>1019</v>
      </c>
      <c r="F18" s="67" t="s">
        <v>1051</v>
      </c>
      <c r="G18" s="13">
        <v>3.5</v>
      </c>
      <c r="H18" s="10">
        <f>0.3+0.337+0.19</f>
        <v>0.82699999999999996</v>
      </c>
      <c r="I18" s="10">
        <v>0.432</v>
      </c>
      <c r="J18" s="10">
        <v>0</v>
      </c>
      <c r="K18" s="130">
        <f t="shared" si="0"/>
        <v>0.82699999999999996</v>
      </c>
    </row>
    <row r="19" spans="1:11" s="74" customFormat="1" ht="33.6" customHeight="1" x14ac:dyDescent="0.25">
      <c r="A19" s="140">
        <v>9</v>
      </c>
      <c r="B19" s="49" t="s">
        <v>1922</v>
      </c>
      <c r="C19" s="15" t="s">
        <v>976</v>
      </c>
      <c r="D19" s="7" t="s">
        <v>840</v>
      </c>
      <c r="E19" s="14" t="s">
        <v>1019</v>
      </c>
      <c r="F19" s="67" t="s">
        <v>1051</v>
      </c>
      <c r="G19" s="13">
        <v>3.5</v>
      </c>
      <c r="H19" s="10">
        <f>0.24+0.133</f>
        <v>0.373</v>
      </c>
      <c r="I19" s="10">
        <v>0</v>
      </c>
      <c r="J19" s="10">
        <v>0</v>
      </c>
      <c r="K19" s="130">
        <f t="shared" si="0"/>
        <v>0.373</v>
      </c>
    </row>
    <row r="20" spans="1:11" s="74" customFormat="1" ht="28.15" customHeight="1" x14ac:dyDescent="0.25">
      <c r="A20" s="140">
        <v>10</v>
      </c>
      <c r="B20" s="49" t="s">
        <v>1923</v>
      </c>
      <c r="C20" s="15" t="s">
        <v>39</v>
      </c>
      <c r="D20" s="7" t="s">
        <v>841</v>
      </c>
      <c r="E20" s="14" t="s">
        <v>1019</v>
      </c>
      <c r="F20" s="67" t="s">
        <v>1051</v>
      </c>
      <c r="G20" s="13">
        <v>3</v>
      </c>
      <c r="H20" s="10">
        <f>0.6+0.113</f>
        <v>0.71299999999999997</v>
      </c>
      <c r="I20" s="10">
        <v>0</v>
      </c>
      <c r="J20" s="10">
        <v>0</v>
      </c>
      <c r="K20" s="130">
        <f t="shared" si="0"/>
        <v>0.71299999999999997</v>
      </c>
    </row>
    <row r="21" spans="1:11" s="74" customFormat="1" ht="33" customHeight="1" x14ac:dyDescent="0.25">
      <c r="A21" s="140">
        <v>11</v>
      </c>
      <c r="B21" s="49" t="s">
        <v>1924</v>
      </c>
      <c r="C21" s="15" t="s">
        <v>39</v>
      </c>
      <c r="D21" s="7" t="s">
        <v>842</v>
      </c>
      <c r="E21" s="14" t="s">
        <v>1019</v>
      </c>
      <c r="F21" s="67" t="s">
        <v>1051</v>
      </c>
      <c r="G21" s="13">
        <v>4</v>
      </c>
      <c r="H21" s="10">
        <v>0.7</v>
      </c>
      <c r="I21" s="10">
        <v>0.7</v>
      </c>
      <c r="J21" s="10">
        <f>0.404+0.63</f>
        <v>1.034</v>
      </c>
      <c r="K21" s="130">
        <f t="shared" si="0"/>
        <v>1.734</v>
      </c>
    </row>
    <row r="22" spans="1:11" s="74" customFormat="1" ht="31.9" customHeight="1" x14ac:dyDescent="0.25">
      <c r="A22" s="140">
        <v>12</v>
      </c>
      <c r="B22" s="49" t="s">
        <v>1925</v>
      </c>
      <c r="C22" s="15" t="s">
        <v>39</v>
      </c>
      <c r="D22" s="7" t="s">
        <v>843</v>
      </c>
      <c r="E22" s="14" t="s">
        <v>1019</v>
      </c>
      <c r="F22" s="67" t="s">
        <v>1051</v>
      </c>
      <c r="G22" s="13">
        <v>4</v>
      </c>
      <c r="H22" s="10">
        <v>0.55400000000000005</v>
      </c>
      <c r="I22" s="10">
        <v>0</v>
      </c>
      <c r="J22" s="10">
        <v>0.66500000000000004</v>
      </c>
      <c r="K22" s="130">
        <f t="shared" si="0"/>
        <v>1.2190000000000001</v>
      </c>
    </row>
    <row r="23" spans="1:11" s="74" customFormat="1" ht="28.9" customHeight="1" x14ac:dyDescent="0.25">
      <c r="A23" s="140">
        <v>13</v>
      </c>
      <c r="B23" s="49" t="s">
        <v>1926</v>
      </c>
      <c r="C23" s="15" t="s">
        <v>38</v>
      </c>
      <c r="D23" s="7" t="s">
        <v>844</v>
      </c>
      <c r="E23" s="14" t="s">
        <v>1019</v>
      </c>
      <c r="F23" s="67" t="s">
        <v>1051</v>
      </c>
      <c r="G23" s="13">
        <v>3.5</v>
      </c>
      <c r="H23" s="10">
        <v>0.32600000000000001</v>
      </c>
      <c r="I23" s="10">
        <v>0.32600000000000001</v>
      </c>
      <c r="J23" s="10">
        <v>1.1539999999999999</v>
      </c>
      <c r="K23" s="130">
        <f t="shared" si="0"/>
        <v>1.48</v>
      </c>
    </row>
    <row r="24" spans="1:11" s="74" customFormat="1" ht="25.9" customHeight="1" x14ac:dyDescent="0.25">
      <c r="A24" s="140">
        <v>14</v>
      </c>
      <c r="B24" s="49" t="s">
        <v>1927</v>
      </c>
      <c r="C24" s="15" t="s">
        <v>39</v>
      </c>
      <c r="D24" s="7" t="s">
        <v>845</v>
      </c>
      <c r="E24" s="14" t="s">
        <v>1019</v>
      </c>
      <c r="F24" s="67" t="s">
        <v>1051</v>
      </c>
      <c r="G24" s="13">
        <v>4</v>
      </c>
      <c r="H24" s="10">
        <v>0.39300000000000002</v>
      </c>
      <c r="I24" s="10">
        <v>0</v>
      </c>
      <c r="J24" s="10">
        <v>0.629</v>
      </c>
      <c r="K24" s="130">
        <f t="shared" si="0"/>
        <v>1.022</v>
      </c>
    </row>
    <row r="25" spans="1:11" s="74" customFormat="1" ht="30" customHeight="1" x14ac:dyDescent="0.25">
      <c r="A25" s="140">
        <v>15</v>
      </c>
      <c r="B25" s="49" t="s">
        <v>1928</v>
      </c>
      <c r="C25" s="15" t="s">
        <v>39</v>
      </c>
      <c r="D25" s="7" t="s">
        <v>846</v>
      </c>
      <c r="E25" s="14" t="s">
        <v>1019</v>
      </c>
      <c r="F25" s="67" t="s">
        <v>1051</v>
      </c>
      <c r="G25" s="13">
        <v>4</v>
      </c>
      <c r="H25" s="10">
        <v>0.97</v>
      </c>
      <c r="I25" s="10">
        <v>0.97</v>
      </c>
      <c r="J25" s="10">
        <v>0.82299999999999995</v>
      </c>
      <c r="K25" s="130">
        <f t="shared" si="0"/>
        <v>1.7929999999999999</v>
      </c>
    </row>
    <row r="26" spans="1:11" s="74" customFormat="1" ht="28.15" customHeight="1" x14ac:dyDescent="0.25">
      <c r="A26" s="140">
        <v>16</v>
      </c>
      <c r="B26" s="49" t="s">
        <v>1929</v>
      </c>
      <c r="C26" s="15" t="s">
        <v>39</v>
      </c>
      <c r="D26" s="7" t="s">
        <v>847</v>
      </c>
      <c r="E26" s="14" t="s">
        <v>1019</v>
      </c>
      <c r="F26" s="67" t="s">
        <v>1051</v>
      </c>
      <c r="G26" s="13">
        <v>3.5</v>
      </c>
      <c r="H26" s="10">
        <f>0.13+0.325</f>
        <v>0.45500000000000002</v>
      </c>
      <c r="I26" s="10">
        <v>0</v>
      </c>
      <c r="J26" s="10">
        <v>0</v>
      </c>
      <c r="K26" s="130">
        <f t="shared" si="0"/>
        <v>0.45500000000000002</v>
      </c>
    </row>
    <row r="27" spans="1:11" s="74" customFormat="1" ht="30" customHeight="1" x14ac:dyDescent="0.25">
      <c r="A27" s="140">
        <v>17</v>
      </c>
      <c r="B27" s="49" t="s">
        <v>1930</v>
      </c>
      <c r="C27" s="15" t="s">
        <v>39</v>
      </c>
      <c r="D27" s="7" t="s">
        <v>848</v>
      </c>
      <c r="E27" s="14" t="s">
        <v>1019</v>
      </c>
      <c r="F27" s="67" t="s">
        <v>1051</v>
      </c>
      <c r="G27" s="13">
        <v>3.5</v>
      </c>
      <c r="H27" s="10">
        <f>0.125+0.1+0.235</f>
        <v>0.45999999999999996</v>
      </c>
      <c r="I27" s="10">
        <v>0.125</v>
      </c>
      <c r="J27" s="10">
        <v>0</v>
      </c>
      <c r="K27" s="130">
        <f t="shared" si="0"/>
        <v>0.45999999999999996</v>
      </c>
    </row>
    <row r="28" spans="1:11" s="74" customFormat="1" ht="28.15" customHeight="1" x14ac:dyDescent="0.25">
      <c r="A28" s="140">
        <v>18</v>
      </c>
      <c r="B28" s="49" t="s">
        <v>1931</v>
      </c>
      <c r="C28" s="15" t="s">
        <v>39</v>
      </c>
      <c r="D28" s="7" t="s">
        <v>849</v>
      </c>
      <c r="E28" s="14" t="s">
        <v>1019</v>
      </c>
      <c r="F28" s="67" t="s">
        <v>1051</v>
      </c>
      <c r="G28" s="13">
        <v>3.5</v>
      </c>
      <c r="H28" s="10">
        <v>0.43</v>
      </c>
      <c r="I28" s="10">
        <v>0.43</v>
      </c>
      <c r="J28" s="10">
        <v>0</v>
      </c>
      <c r="K28" s="130">
        <f t="shared" si="0"/>
        <v>0.43</v>
      </c>
    </row>
    <row r="29" spans="1:11" s="74" customFormat="1" ht="30" customHeight="1" x14ac:dyDescent="0.25">
      <c r="A29" s="140">
        <v>19</v>
      </c>
      <c r="B29" s="49" t="s">
        <v>1932</v>
      </c>
      <c r="C29" s="15" t="s">
        <v>39</v>
      </c>
      <c r="D29" s="7" t="s">
        <v>850</v>
      </c>
      <c r="E29" s="14" t="s">
        <v>1019</v>
      </c>
      <c r="F29" s="67" t="s">
        <v>1051</v>
      </c>
      <c r="G29" s="13">
        <v>3.5</v>
      </c>
      <c r="H29" s="10">
        <v>0.32500000000000001</v>
      </c>
      <c r="I29" s="10">
        <v>0.32500000000000001</v>
      </c>
      <c r="J29" s="10">
        <v>0</v>
      </c>
      <c r="K29" s="130">
        <f t="shared" si="0"/>
        <v>0.32500000000000001</v>
      </c>
    </row>
    <row r="30" spans="1:11" s="74" customFormat="1" ht="34.15" customHeight="1" x14ac:dyDescent="0.25">
      <c r="A30" s="140">
        <v>20</v>
      </c>
      <c r="B30" s="49" t="s">
        <v>1933</v>
      </c>
      <c r="C30" s="15" t="s">
        <v>38</v>
      </c>
      <c r="D30" s="7" t="s">
        <v>851</v>
      </c>
      <c r="E30" s="14" t="s">
        <v>1019</v>
      </c>
      <c r="F30" s="67" t="s">
        <v>1051</v>
      </c>
      <c r="G30" s="13">
        <v>4</v>
      </c>
      <c r="H30" s="10">
        <v>0.24199999999999999</v>
      </c>
      <c r="I30" s="10">
        <v>0.24199999999999999</v>
      </c>
      <c r="J30" s="10">
        <v>0</v>
      </c>
      <c r="K30" s="130">
        <f t="shared" si="0"/>
        <v>0.24199999999999999</v>
      </c>
    </row>
    <row r="31" spans="1:11" s="74" customFormat="1" ht="31.15" customHeight="1" x14ac:dyDescent="0.25">
      <c r="A31" s="140">
        <v>21</v>
      </c>
      <c r="B31" s="49" t="s">
        <v>1934</v>
      </c>
      <c r="C31" s="15" t="s">
        <v>976</v>
      </c>
      <c r="D31" s="7" t="s">
        <v>852</v>
      </c>
      <c r="E31" s="14" t="s">
        <v>1019</v>
      </c>
      <c r="F31" s="67" t="s">
        <v>1051</v>
      </c>
      <c r="G31" s="13">
        <v>3.5</v>
      </c>
      <c r="H31" s="10">
        <v>0.46300000000000002</v>
      </c>
      <c r="I31" s="10">
        <v>0.46300000000000002</v>
      </c>
      <c r="J31" s="10">
        <v>0</v>
      </c>
      <c r="K31" s="130">
        <f t="shared" si="0"/>
        <v>0.46300000000000002</v>
      </c>
    </row>
    <row r="32" spans="1:11" s="74" customFormat="1" ht="28.9" customHeight="1" x14ac:dyDescent="0.25">
      <c r="A32" s="140">
        <v>22</v>
      </c>
      <c r="B32" s="49" t="s">
        <v>1935</v>
      </c>
      <c r="C32" s="15" t="s">
        <v>39</v>
      </c>
      <c r="D32" s="7" t="s">
        <v>853</v>
      </c>
      <c r="E32" s="14" t="s">
        <v>1019</v>
      </c>
      <c r="F32" s="67" t="s">
        <v>1051</v>
      </c>
      <c r="G32" s="13">
        <v>4</v>
      </c>
      <c r="H32" s="10">
        <f>1.19+0.187+0.21</f>
        <v>1.587</v>
      </c>
      <c r="I32" s="10">
        <f>1.19+0.187</f>
        <v>1.377</v>
      </c>
      <c r="J32" s="10">
        <v>0</v>
      </c>
      <c r="K32" s="130">
        <f t="shared" si="0"/>
        <v>1.587</v>
      </c>
    </row>
    <row r="33" spans="1:11" s="74" customFormat="1" ht="27" customHeight="1" x14ac:dyDescent="0.25">
      <c r="A33" s="140">
        <v>23</v>
      </c>
      <c r="B33" s="49" t="s">
        <v>1936</v>
      </c>
      <c r="C33" s="15" t="s">
        <v>976</v>
      </c>
      <c r="D33" s="7" t="s">
        <v>854</v>
      </c>
      <c r="E33" s="14" t="s">
        <v>1019</v>
      </c>
      <c r="F33" s="67" t="s">
        <v>1051</v>
      </c>
      <c r="G33" s="13">
        <v>3.5</v>
      </c>
      <c r="H33" s="10">
        <v>0.255</v>
      </c>
      <c r="I33" s="10">
        <v>0.255</v>
      </c>
      <c r="J33" s="10">
        <v>0</v>
      </c>
      <c r="K33" s="130">
        <f t="shared" si="0"/>
        <v>0.255</v>
      </c>
    </row>
    <row r="34" spans="1:11" s="74" customFormat="1" ht="31.15" customHeight="1" x14ac:dyDescent="0.25">
      <c r="A34" s="140">
        <v>24</v>
      </c>
      <c r="B34" s="49" t="s">
        <v>1937</v>
      </c>
      <c r="C34" s="15" t="s">
        <v>38</v>
      </c>
      <c r="D34" s="7" t="s">
        <v>855</v>
      </c>
      <c r="E34" s="14" t="s">
        <v>1019</v>
      </c>
      <c r="F34" s="67" t="s">
        <v>1051</v>
      </c>
      <c r="G34" s="13">
        <v>3.5</v>
      </c>
      <c r="H34" s="10">
        <v>0</v>
      </c>
      <c r="I34" s="10">
        <v>0</v>
      </c>
      <c r="J34" s="10">
        <v>0.13400000000000001</v>
      </c>
      <c r="K34" s="130">
        <f t="shared" si="0"/>
        <v>0.13400000000000001</v>
      </c>
    </row>
    <row r="35" spans="1:11" s="74" customFormat="1" ht="31.15" customHeight="1" x14ac:dyDescent="0.25">
      <c r="A35" s="140">
        <v>25</v>
      </c>
      <c r="B35" s="49" t="s">
        <v>1938</v>
      </c>
      <c r="C35" s="15" t="s">
        <v>976</v>
      </c>
      <c r="D35" s="7" t="s">
        <v>856</v>
      </c>
      <c r="E35" s="14" t="s">
        <v>1019</v>
      </c>
      <c r="F35" s="67" t="s">
        <v>1051</v>
      </c>
      <c r="G35" s="13">
        <v>4</v>
      </c>
      <c r="H35" s="10">
        <v>0.3</v>
      </c>
      <c r="I35" s="10">
        <v>0.3</v>
      </c>
      <c r="J35" s="10">
        <v>0</v>
      </c>
      <c r="K35" s="130">
        <f t="shared" si="0"/>
        <v>0.3</v>
      </c>
    </row>
    <row r="36" spans="1:11" s="74" customFormat="1" ht="27.6" customHeight="1" x14ac:dyDescent="0.25">
      <c r="A36" s="140">
        <v>26</v>
      </c>
      <c r="B36" s="49" t="s">
        <v>1939</v>
      </c>
      <c r="C36" s="15" t="s">
        <v>39</v>
      </c>
      <c r="D36" s="7" t="s">
        <v>857</v>
      </c>
      <c r="E36" s="14" t="s">
        <v>1019</v>
      </c>
      <c r="F36" s="67" t="s">
        <v>1051</v>
      </c>
      <c r="G36" s="13">
        <v>3.5</v>
      </c>
      <c r="H36" s="10">
        <v>0.83599999999999997</v>
      </c>
      <c r="I36" s="10">
        <v>0.83599999999999997</v>
      </c>
      <c r="J36" s="10">
        <v>0.81</v>
      </c>
      <c r="K36" s="130">
        <f t="shared" si="0"/>
        <v>1.6459999999999999</v>
      </c>
    </row>
    <row r="37" spans="1:11" s="74" customFormat="1" ht="27.6" customHeight="1" x14ac:dyDescent="0.25">
      <c r="A37" s="140">
        <v>27</v>
      </c>
      <c r="B37" s="49" t="s">
        <v>1940</v>
      </c>
      <c r="C37" s="15" t="s">
        <v>39</v>
      </c>
      <c r="D37" s="7" t="s">
        <v>858</v>
      </c>
      <c r="E37" s="14" t="s">
        <v>1019</v>
      </c>
      <c r="F37" s="67" t="s">
        <v>1051</v>
      </c>
      <c r="G37" s="13">
        <v>3.5</v>
      </c>
      <c r="H37" s="10">
        <v>0.25</v>
      </c>
      <c r="I37" s="10">
        <v>0</v>
      </c>
      <c r="J37" s="10">
        <v>0.222</v>
      </c>
      <c r="K37" s="130">
        <f t="shared" si="0"/>
        <v>0.47199999999999998</v>
      </c>
    </row>
    <row r="38" spans="1:11" s="74" customFormat="1" ht="31.15" customHeight="1" x14ac:dyDescent="0.25">
      <c r="A38" s="140">
        <v>28</v>
      </c>
      <c r="B38" s="49" t="s">
        <v>1941</v>
      </c>
      <c r="C38" s="15" t="s">
        <v>39</v>
      </c>
      <c r="D38" s="7" t="s">
        <v>859</v>
      </c>
      <c r="E38" s="14" t="s">
        <v>1019</v>
      </c>
      <c r="F38" s="67" t="s">
        <v>1051</v>
      </c>
      <c r="G38" s="13">
        <v>4</v>
      </c>
      <c r="H38" s="10">
        <v>0.97499999999999998</v>
      </c>
      <c r="I38" s="10">
        <v>0.97499999999999998</v>
      </c>
      <c r="J38" s="10">
        <v>0</v>
      </c>
      <c r="K38" s="130">
        <f t="shared" si="0"/>
        <v>0.97499999999999998</v>
      </c>
    </row>
    <row r="39" spans="1:11" s="74" customFormat="1" ht="28.15" customHeight="1" x14ac:dyDescent="0.25">
      <c r="A39" s="140">
        <v>29</v>
      </c>
      <c r="B39" s="49" t="s">
        <v>1942</v>
      </c>
      <c r="C39" s="15" t="s">
        <v>39</v>
      </c>
      <c r="D39" s="7" t="s">
        <v>860</v>
      </c>
      <c r="E39" s="14" t="s">
        <v>1019</v>
      </c>
      <c r="F39" s="67" t="s">
        <v>1051</v>
      </c>
      <c r="G39" s="13">
        <v>3.5</v>
      </c>
      <c r="H39" s="10">
        <v>1.111</v>
      </c>
      <c r="I39" s="10">
        <v>1.111</v>
      </c>
      <c r="J39" s="10">
        <v>0</v>
      </c>
      <c r="K39" s="130">
        <f t="shared" si="0"/>
        <v>1.111</v>
      </c>
    </row>
    <row r="40" spans="1:11" s="74" customFormat="1" ht="25.9" customHeight="1" x14ac:dyDescent="0.25">
      <c r="A40" s="140">
        <v>30</v>
      </c>
      <c r="B40" s="49" t="s">
        <v>1943</v>
      </c>
      <c r="C40" s="15" t="s">
        <v>39</v>
      </c>
      <c r="D40" s="7" t="s">
        <v>861</v>
      </c>
      <c r="E40" s="14" t="s">
        <v>1019</v>
      </c>
      <c r="F40" s="67" t="s">
        <v>1051</v>
      </c>
      <c r="G40" s="13">
        <v>4</v>
      </c>
      <c r="H40" s="10">
        <v>0.88</v>
      </c>
      <c r="I40" s="10">
        <v>0.88</v>
      </c>
      <c r="J40" s="10">
        <v>0.57199999999999995</v>
      </c>
      <c r="K40" s="130">
        <f t="shared" si="0"/>
        <v>1.452</v>
      </c>
    </row>
    <row r="41" spans="1:11" s="74" customFormat="1" ht="30.6" customHeight="1" x14ac:dyDescent="0.25">
      <c r="A41" s="140">
        <v>31</v>
      </c>
      <c r="B41" s="49" t="s">
        <v>1944</v>
      </c>
      <c r="C41" s="15" t="s">
        <v>39</v>
      </c>
      <c r="D41" s="7" t="s">
        <v>862</v>
      </c>
      <c r="E41" s="14" t="s">
        <v>1019</v>
      </c>
      <c r="F41" s="67" t="s">
        <v>1051</v>
      </c>
      <c r="G41" s="13">
        <v>3</v>
      </c>
      <c r="H41" s="10">
        <v>0.51500000000000001</v>
      </c>
      <c r="I41" s="10">
        <v>0.51500000000000001</v>
      </c>
      <c r="J41" s="10">
        <v>0</v>
      </c>
      <c r="K41" s="130">
        <f t="shared" si="0"/>
        <v>0.51500000000000001</v>
      </c>
    </row>
    <row r="42" spans="1:11" s="74" customFormat="1" ht="33.6" customHeight="1" x14ac:dyDescent="0.25">
      <c r="A42" s="140">
        <v>32</v>
      </c>
      <c r="B42" s="49" t="s">
        <v>1945</v>
      </c>
      <c r="C42" s="15" t="s">
        <v>39</v>
      </c>
      <c r="D42" s="7" t="s">
        <v>863</v>
      </c>
      <c r="E42" s="14" t="s">
        <v>1019</v>
      </c>
      <c r="F42" s="67" t="s">
        <v>1051</v>
      </c>
      <c r="G42" s="13">
        <v>3.5</v>
      </c>
      <c r="H42" s="10">
        <v>0.54</v>
      </c>
      <c r="I42" s="10">
        <v>0.54</v>
      </c>
      <c r="J42" s="10">
        <v>0</v>
      </c>
      <c r="K42" s="130">
        <f t="shared" si="0"/>
        <v>0.54</v>
      </c>
    </row>
    <row r="43" spans="1:11" s="74" customFormat="1" ht="29.45" customHeight="1" x14ac:dyDescent="0.25">
      <c r="A43" s="140">
        <v>33</v>
      </c>
      <c r="B43" s="49" t="s">
        <v>1946</v>
      </c>
      <c r="C43" s="15" t="s">
        <v>39</v>
      </c>
      <c r="D43" s="7" t="s">
        <v>864</v>
      </c>
      <c r="E43" s="14" t="s">
        <v>1019</v>
      </c>
      <c r="F43" s="67" t="s">
        <v>1051</v>
      </c>
      <c r="G43" s="13">
        <v>4</v>
      </c>
      <c r="H43" s="10">
        <v>0</v>
      </c>
      <c r="I43" s="10">
        <v>0</v>
      </c>
      <c r="J43" s="10">
        <v>0.72</v>
      </c>
      <c r="K43" s="130">
        <f t="shared" si="0"/>
        <v>0.72</v>
      </c>
    </row>
    <row r="44" spans="1:11" s="74" customFormat="1" ht="31.9" customHeight="1" x14ac:dyDescent="0.25">
      <c r="A44" s="140">
        <v>34</v>
      </c>
      <c r="B44" s="49" t="s">
        <v>1947</v>
      </c>
      <c r="C44" s="15" t="s">
        <v>38</v>
      </c>
      <c r="D44" s="7" t="s">
        <v>3340</v>
      </c>
      <c r="E44" s="14" t="s">
        <v>1019</v>
      </c>
      <c r="F44" s="67" t="s">
        <v>1051</v>
      </c>
      <c r="G44" s="13">
        <v>3.5</v>
      </c>
      <c r="H44" s="10">
        <v>1.355</v>
      </c>
      <c r="I44" s="10">
        <v>0</v>
      </c>
      <c r="J44" s="10">
        <v>0</v>
      </c>
      <c r="K44" s="130">
        <f t="shared" si="0"/>
        <v>1.355</v>
      </c>
    </row>
    <row r="45" spans="1:11" s="74" customFormat="1" ht="26.45" customHeight="1" x14ac:dyDescent="0.25">
      <c r="A45" s="140">
        <v>35</v>
      </c>
      <c r="B45" s="49" t="s">
        <v>1948</v>
      </c>
      <c r="C45" s="15" t="s">
        <v>39</v>
      </c>
      <c r="D45" s="7" t="s">
        <v>865</v>
      </c>
      <c r="E45" s="14" t="s">
        <v>1019</v>
      </c>
      <c r="F45" s="67" t="s">
        <v>1051</v>
      </c>
      <c r="G45" s="13">
        <v>3.5</v>
      </c>
      <c r="H45" s="10">
        <v>0.23599999999999999</v>
      </c>
      <c r="I45" s="10">
        <v>0</v>
      </c>
      <c r="J45" s="10">
        <v>0</v>
      </c>
      <c r="K45" s="130">
        <f t="shared" si="0"/>
        <v>0.23599999999999999</v>
      </c>
    </row>
    <row r="46" spans="1:11" s="74" customFormat="1" ht="29.45" customHeight="1" x14ac:dyDescent="0.25">
      <c r="A46" s="140">
        <v>36</v>
      </c>
      <c r="B46" s="49" t="s">
        <v>1949</v>
      </c>
      <c r="C46" s="15" t="s">
        <v>39</v>
      </c>
      <c r="D46" s="7" t="s">
        <v>866</v>
      </c>
      <c r="E46" s="14" t="s">
        <v>1019</v>
      </c>
      <c r="F46" s="67" t="s">
        <v>1051</v>
      </c>
      <c r="G46" s="13">
        <v>3.5</v>
      </c>
      <c r="H46" s="10">
        <v>0</v>
      </c>
      <c r="I46" s="10">
        <v>0</v>
      </c>
      <c r="J46" s="10">
        <v>0.66900000000000004</v>
      </c>
      <c r="K46" s="130">
        <f t="shared" si="0"/>
        <v>0.66900000000000004</v>
      </c>
    </row>
    <row r="47" spans="1:11" s="74" customFormat="1" ht="30" customHeight="1" x14ac:dyDescent="0.25">
      <c r="A47" s="140">
        <v>37</v>
      </c>
      <c r="B47" s="49" t="s">
        <v>1950</v>
      </c>
      <c r="C47" s="15" t="s">
        <v>39</v>
      </c>
      <c r="D47" s="7" t="s">
        <v>867</v>
      </c>
      <c r="E47" s="14" t="s">
        <v>1019</v>
      </c>
      <c r="F47" s="67" t="s">
        <v>1051</v>
      </c>
      <c r="G47" s="13">
        <v>3.5</v>
      </c>
      <c r="H47" s="10">
        <f>0.415+0.47</f>
        <v>0.88500000000000001</v>
      </c>
      <c r="I47" s="10">
        <v>0</v>
      </c>
      <c r="J47" s="10">
        <v>0</v>
      </c>
      <c r="K47" s="130">
        <f t="shared" si="0"/>
        <v>0.88500000000000001</v>
      </c>
    </row>
    <row r="48" spans="1:11" s="74" customFormat="1" ht="29.45" customHeight="1" x14ac:dyDescent="0.25">
      <c r="A48" s="140">
        <v>38</v>
      </c>
      <c r="B48" s="49" t="s">
        <v>1951</v>
      </c>
      <c r="C48" s="15" t="s">
        <v>39</v>
      </c>
      <c r="D48" s="7" t="s">
        <v>868</v>
      </c>
      <c r="E48" s="14" t="s">
        <v>1019</v>
      </c>
      <c r="F48" s="67" t="s">
        <v>1051</v>
      </c>
      <c r="G48" s="13">
        <v>3.5</v>
      </c>
      <c r="H48" s="10">
        <f>0.58+0.283+0.122</f>
        <v>0.98499999999999999</v>
      </c>
      <c r="I48" s="10">
        <v>0.57999999999999996</v>
      </c>
      <c r="J48" s="10">
        <v>0</v>
      </c>
      <c r="K48" s="130">
        <f t="shared" si="0"/>
        <v>0.98499999999999999</v>
      </c>
    </row>
    <row r="49" spans="1:11" s="74" customFormat="1" ht="30.6" customHeight="1" x14ac:dyDescent="0.25">
      <c r="A49" s="140">
        <v>39</v>
      </c>
      <c r="B49" s="49" t="s">
        <v>1952</v>
      </c>
      <c r="C49" s="15" t="s">
        <v>38</v>
      </c>
      <c r="D49" s="7" t="s">
        <v>869</v>
      </c>
      <c r="E49" s="14" t="s">
        <v>1019</v>
      </c>
      <c r="F49" s="67" t="s">
        <v>1051</v>
      </c>
      <c r="G49" s="13">
        <v>3.5</v>
      </c>
      <c r="H49" s="10">
        <v>0.31</v>
      </c>
      <c r="I49" s="10">
        <v>0.31</v>
      </c>
      <c r="J49" s="10">
        <v>0</v>
      </c>
      <c r="K49" s="130">
        <f t="shared" si="0"/>
        <v>0.31</v>
      </c>
    </row>
    <row r="50" spans="1:11" s="74" customFormat="1" ht="31.9" customHeight="1" x14ac:dyDescent="0.25">
      <c r="A50" s="140">
        <v>40</v>
      </c>
      <c r="B50" s="49" t="s">
        <v>1953</v>
      </c>
      <c r="C50" s="15" t="s">
        <v>39</v>
      </c>
      <c r="D50" s="7" t="s">
        <v>870</v>
      </c>
      <c r="E50" s="14" t="s">
        <v>1019</v>
      </c>
      <c r="F50" s="67" t="s">
        <v>1051</v>
      </c>
      <c r="G50" s="13">
        <v>3.5</v>
      </c>
      <c r="H50" s="10">
        <v>1.3160000000000001</v>
      </c>
      <c r="I50" s="10">
        <v>0</v>
      </c>
      <c r="J50" s="10">
        <v>0</v>
      </c>
      <c r="K50" s="130">
        <f t="shared" si="0"/>
        <v>1.3160000000000001</v>
      </c>
    </row>
    <row r="51" spans="1:11" s="74" customFormat="1" ht="26.45" customHeight="1" x14ac:dyDescent="0.25">
      <c r="A51" s="140">
        <v>41</v>
      </c>
      <c r="B51" s="49" t="s">
        <v>1954</v>
      </c>
      <c r="C51" s="15" t="s">
        <v>39</v>
      </c>
      <c r="D51" s="7" t="s">
        <v>871</v>
      </c>
      <c r="E51" s="14" t="s">
        <v>1019</v>
      </c>
      <c r="F51" s="67" t="s">
        <v>1051</v>
      </c>
      <c r="G51" s="13">
        <v>3.5</v>
      </c>
      <c r="H51" s="10">
        <f>0.653+0.553</f>
        <v>1.206</v>
      </c>
      <c r="I51" s="10">
        <v>0</v>
      </c>
      <c r="J51" s="10">
        <v>0</v>
      </c>
      <c r="K51" s="130">
        <f t="shared" si="0"/>
        <v>1.206</v>
      </c>
    </row>
    <row r="52" spans="1:11" s="74" customFormat="1" ht="29.45" customHeight="1" x14ac:dyDescent="0.25">
      <c r="A52" s="140">
        <v>42</v>
      </c>
      <c r="B52" s="49" t="s">
        <v>1955</v>
      </c>
      <c r="C52" s="15" t="s">
        <v>39</v>
      </c>
      <c r="D52" s="7" t="s">
        <v>872</v>
      </c>
      <c r="E52" s="14" t="s">
        <v>1019</v>
      </c>
      <c r="F52" s="67" t="s">
        <v>1051</v>
      </c>
      <c r="G52" s="13">
        <v>3.5</v>
      </c>
      <c r="H52" s="10">
        <v>2.3039999999999998</v>
      </c>
      <c r="I52" s="10">
        <v>0</v>
      </c>
      <c r="J52" s="10">
        <v>0</v>
      </c>
      <c r="K52" s="130">
        <f t="shared" si="0"/>
        <v>2.3039999999999998</v>
      </c>
    </row>
    <row r="53" spans="1:11" s="74" customFormat="1" ht="30.6" customHeight="1" x14ac:dyDescent="0.25">
      <c r="A53" s="140">
        <v>43</v>
      </c>
      <c r="B53" s="49" t="s">
        <v>1956</v>
      </c>
      <c r="C53" s="15" t="s">
        <v>39</v>
      </c>
      <c r="D53" s="7" t="s">
        <v>873</v>
      </c>
      <c r="E53" s="14" t="s">
        <v>1019</v>
      </c>
      <c r="F53" s="67" t="s">
        <v>1051</v>
      </c>
      <c r="G53" s="13">
        <v>3.5</v>
      </c>
      <c r="H53" s="10">
        <f>0.682+0.183+0.128</f>
        <v>0.99299999999999999</v>
      </c>
      <c r="I53" s="10">
        <v>0</v>
      </c>
      <c r="J53" s="10">
        <v>0.64500000000000002</v>
      </c>
      <c r="K53" s="130">
        <f t="shared" si="0"/>
        <v>1.6379999999999999</v>
      </c>
    </row>
    <row r="54" spans="1:11" s="74" customFormat="1" ht="31.15" customHeight="1" x14ac:dyDescent="0.25">
      <c r="A54" s="140">
        <v>44</v>
      </c>
      <c r="B54" s="49" t="s">
        <v>1957</v>
      </c>
      <c r="C54" s="15" t="s">
        <v>38</v>
      </c>
      <c r="D54" s="7" t="s">
        <v>979</v>
      </c>
      <c r="E54" s="14" t="s">
        <v>1019</v>
      </c>
      <c r="F54" s="67" t="s">
        <v>1051</v>
      </c>
      <c r="G54" s="13">
        <v>3.5</v>
      </c>
      <c r="H54" s="10">
        <v>0</v>
      </c>
      <c r="I54" s="10">
        <v>0</v>
      </c>
      <c r="J54" s="10">
        <v>2.0259999999999998</v>
      </c>
      <c r="K54" s="130">
        <f t="shared" si="0"/>
        <v>2.0259999999999998</v>
      </c>
    </row>
    <row r="55" spans="1:11" s="74" customFormat="1" ht="29.45" customHeight="1" x14ac:dyDescent="0.25">
      <c r="A55" s="140">
        <v>45</v>
      </c>
      <c r="B55" s="49" t="s">
        <v>1958</v>
      </c>
      <c r="C55" s="15" t="s">
        <v>38</v>
      </c>
      <c r="D55" s="7" t="s">
        <v>980</v>
      </c>
      <c r="E55" s="14" t="s">
        <v>1019</v>
      </c>
      <c r="F55" s="67" t="s">
        <v>1051</v>
      </c>
      <c r="G55" s="13">
        <v>3.5</v>
      </c>
      <c r="H55" s="10">
        <v>0</v>
      </c>
      <c r="I55" s="10">
        <v>0</v>
      </c>
      <c r="J55" s="10">
        <v>2.4940000000000002</v>
      </c>
      <c r="K55" s="130">
        <f t="shared" si="0"/>
        <v>2.4940000000000002</v>
      </c>
    </row>
    <row r="56" spans="1:11" s="74" customFormat="1" ht="30.6" customHeight="1" x14ac:dyDescent="0.25">
      <c r="A56" s="140">
        <v>46</v>
      </c>
      <c r="B56" s="49" t="s">
        <v>1959</v>
      </c>
      <c r="C56" s="15" t="s">
        <v>38</v>
      </c>
      <c r="D56" s="7" t="s">
        <v>981</v>
      </c>
      <c r="E56" s="14" t="s">
        <v>1019</v>
      </c>
      <c r="F56" s="67" t="s">
        <v>1051</v>
      </c>
      <c r="G56" s="13">
        <v>3.5</v>
      </c>
      <c r="H56" s="10">
        <v>0</v>
      </c>
      <c r="I56" s="10">
        <v>0</v>
      </c>
      <c r="J56" s="10">
        <v>5.125</v>
      </c>
      <c r="K56" s="130">
        <f t="shared" si="0"/>
        <v>5.125</v>
      </c>
    </row>
    <row r="57" spans="1:11" s="74" customFormat="1" ht="29.45" customHeight="1" x14ac:dyDescent="0.25">
      <c r="A57" s="140">
        <v>47</v>
      </c>
      <c r="B57" s="49" t="s">
        <v>1960</v>
      </c>
      <c r="C57" s="15" t="s">
        <v>38</v>
      </c>
      <c r="D57" s="7" t="s">
        <v>982</v>
      </c>
      <c r="E57" s="14" t="s">
        <v>1019</v>
      </c>
      <c r="F57" s="67" t="s">
        <v>1051</v>
      </c>
      <c r="G57" s="13">
        <v>3.5</v>
      </c>
      <c r="H57" s="10">
        <v>0</v>
      </c>
      <c r="I57" s="10">
        <v>0</v>
      </c>
      <c r="J57" s="10">
        <f>6.883+0.007</f>
        <v>6.89</v>
      </c>
      <c r="K57" s="130">
        <f t="shared" si="0"/>
        <v>6.89</v>
      </c>
    </row>
  </sheetData>
  <sheetProtection insertRows="0" deleteRows="0" sort="0"/>
  <mergeCells count="10">
    <mergeCell ref="K7:K8"/>
    <mergeCell ref="F7:F8"/>
    <mergeCell ref="H7:J7"/>
    <mergeCell ref="G7:G8"/>
    <mergeCell ref="C1:I1"/>
    <mergeCell ref="A7:A8"/>
    <mergeCell ref="B7:B8"/>
    <mergeCell ref="C7:C8"/>
    <mergeCell ref="D7:D8"/>
    <mergeCell ref="E7:E8"/>
  </mergeCells>
  <conditionalFormatting sqref="K11:K57">
    <cfRule type="expression" dxfId="34" priority="2">
      <formula>$H11+$J11&lt;&gt;$K11</formula>
    </cfRule>
  </conditionalFormatting>
  <conditionalFormatting sqref="H10:K10">
    <cfRule type="expression" dxfId="33" priority="248">
      <formula>H$10&lt;&gt;SUM(H$11:H$57)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BreakPreview" topLeftCell="A40" zoomScale="80" zoomScaleNormal="100" zoomScaleSheetLayoutView="80" workbookViewId="0">
      <selection activeCell="J51" sqref="J51"/>
    </sheetView>
  </sheetViews>
  <sheetFormatPr defaultColWidth="9.140625" defaultRowHeight="15" x14ac:dyDescent="0.25"/>
  <cols>
    <col min="1" max="1" width="7.140625" style="80" customWidth="1"/>
    <col min="2" max="2" width="23.85546875" style="80" customWidth="1"/>
    <col min="3" max="3" width="12.28515625" style="80" customWidth="1"/>
    <col min="4" max="4" width="34.140625" style="80" customWidth="1"/>
    <col min="5" max="5" width="23" style="80" customWidth="1"/>
    <col min="6" max="7" width="10.42578125" style="80" customWidth="1"/>
    <col min="8" max="8" width="12.140625" style="80" customWidth="1"/>
    <col min="9" max="9" width="15.5703125" style="80" customWidth="1"/>
    <col min="10" max="10" width="10.7109375" style="80" customWidth="1"/>
    <col min="11" max="11" width="14.7109375" style="85" customWidth="1"/>
    <col min="12" max="16384" width="9.140625" style="80"/>
  </cols>
  <sheetData>
    <row r="1" spans="1:11" s="4" customFormat="1" ht="28.9" customHeight="1" x14ac:dyDescent="0.25">
      <c r="B1" s="5"/>
      <c r="C1" s="180" t="s">
        <v>3201</v>
      </c>
      <c r="D1" s="180"/>
      <c r="E1" s="180"/>
      <c r="F1" s="180"/>
      <c r="G1" s="180"/>
      <c r="H1" s="180"/>
      <c r="I1" s="180"/>
      <c r="J1" s="5"/>
    </row>
    <row r="2" spans="1:11" s="4" customFormat="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s="4" customFormat="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s="4" customFormat="1" x14ac:dyDescent="0.25">
      <c r="C4" s="152"/>
      <c r="D4" s="152"/>
      <c r="E4" s="152"/>
      <c r="F4" s="152"/>
      <c r="G4" s="152"/>
      <c r="H4" s="152"/>
      <c r="I4" s="152"/>
      <c r="K4" s="153" t="s">
        <v>3202</v>
      </c>
    </row>
    <row r="5" spans="1:11" s="4" customFormat="1" x14ac:dyDescent="0.25">
      <c r="K5" s="153" t="s">
        <v>3203</v>
      </c>
    </row>
    <row r="7" spans="1:11" s="74" customFormat="1" ht="41.25" customHeight="1" x14ac:dyDescent="0.25">
      <c r="A7" s="171" t="s">
        <v>15</v>
      </c>
      <c r="B7" s="171" t="s">
        <v>0</v>
      </c>
      <c r="C7" s="171" t="s">
        <v>13</v>
      </c>
      <c r="D7" s="171" t="s">
        <v>1</v>
      </c>
      <c r="E7" s="171" t="s">
        <v>6</v>
      </c>
      <c r="F7" s="171" t="s">
        <v>14</v>
      </c>
      <c r="G7" s="171" t="s">
        <v>958</v>
      </c>
      <c r="H7" s="44"/>
      <c r="I7" s="44" t="s">
        <v>16</v>
      </c>
      <c r="J7" s="45"/>
      <c r="K7" s="171" t="s">
        <v>1029</v>
      </c>
    </row>
    <row r="8" spans="1:11" s="74" customFormat="1" ht="60" customHeight="1" x14ac:dyDescent="0.25">
      <c r="A8" s="172"/>
      <c r="B8" s="172"/>
      <c r="C8" s="172"/>
      <c r="D8" s="172"/>
      <c r="E8" s="172"/>
      <c r="F8" s="172"/>
      <c r="G8" s="171"/>
      <c r="H8" s="65" t="s">
        <v>3</v>
      </c>
      <c r="I8" s="65" t="s">
        <v>24</v>
      </c>
      <c r="J8" s="67" t="s">
        <v>4</v>
      </c>
      <c r="K8" s="182"/>
    </row>
    <row r="9" spans="1:11" s="74" customFormat="1" ht="21.75" customHeight="1" x14ac:dyDescent="0.25">
      <c r="A9" s="131">
        <v>1</v>
      </c>
      <c r="B9" s="131">
        <v>2</v>
      </c>
      <c r="C9" s="131">
        <v>3</v>
      </c>
      <c r="D9" s="131">
        <v>4</v>
      </c>
      <c r="E9" s="131">
        <v>5</v>
      </c>
      <c r="F9" s="132">
        <v>6</v>
      </c>
      <c r="G9" s="132">
        <v>7</v>
      </c>
      <c r="H9" s="132">
        <v>8</v>
      </c>
      <c r="I9" s="131">
        <v>9</v>
      </c>
      <c r="J9" s="131">
        <v>10</v>
      </c>
      <c r="K9" s="50">
        <v>11</v>
      </c>
    </row>
    <row r="10" spans="1:11" s="74" customFormat="1" ht="29.25" customHeight="1" x14ac:dyDescent="0.25">
      <c r="A10" s="133" t="s">
        <v>2</v>
      </c>
      <c r="B10" s="134"/>
      <c r="C10" s="134"/>
      <c r="D10" s="134"/>
      <c r="E10" s="134"/>
      <c r="F10" s="135"/>
      <c r="G10" s="135"/>
      <c r="H10" s="36">
        <f>SUM(H11:H394)</f>
        <v>15.829000000000001</v>
      </c>
      <c r="I10" s="36">
        <f>SUM(I11:I394)</f>
        <v>11.957999999999998</v>
      </c>
      <c r="J10" s="36">
        <f>SUM(J11:J394)</f>
        <v>34.466000000000001</v>
      </c>
      <c r="K10" s="130">
        <f>SUM(K11:K394)</f>
        <v>50.295000000000009</v>
      </c>
    </row>
    <row r="11" spans="1:11" s="74" customFormat="1" ht="29.25" customHeight="1" x14ac:dyDescent="0.25">
      <c r="A11" s="67">
        <v>1</v>
      </c>
      <c r="B11" s="49" t="s">
        <v>1961</v>
      </c>
      <c r="C11" s="15" t="s">
        <v>39</v>
      </c>
      <c r="D11" s="7" t="s">
        <v>705</v>
      </c>
      <c r="E11" s="14" t="s">
        <v>1021</v>
      </c>
      <c r="F11" s="13" t="s">
        <v>1114</v>
      </c>
      <c r="G11" s="13">
        <v>6</v>
      </c>
      <c r="H11" s="10">
        <v>0.64700000000000002</v>
      </c>
      <c r="I11" s="10">
        <v>0.64700000000000002</v>
      </c>
      <c r="J11" s="10">
        <v>0</v>
      </c>
      <c r="K11" s="130">
        <f>SUM(J11,H11)</f>
        <v>0.64700000000000002</v>
      </c>
    </row>
    <row r="12" spans="1:11" s="74" customFormat="1" ht="31.9" customHeight="1" x14ac:dyDescent="0.25">
      <c r="A12" s="67">
        <v>2</v>
      </c>
      <c r="B12" s="49" t="s">
        <v>1962</v>
      </c>
      <c r="C12" s="15" t="s">
        <v>39</v>
      </c>
      <c r="D12" s="7" t="s">
        <v>706</v>
      </c>
      <c r="E12" s="14" t="s">
        <v>1021</v>
      </c>
      <c r="F12" s="13" t="s">
        <v>1114</v>
      </c>
      <c r="G12" s="13">
        <v>6</v>
      </c>
      <c r="H12" s="10">
        <f>0.632+0.16</f>
        <v>0.79200000000000004</v>
      </c>
      <c r="I12" s="10">
        <v>0.63200000000000001</v>
      </c>
      <c r="J12" s="10">
        <v>0</v>
      </c>
      <c r="K12" s="130">
        <f t="shared" ref="K12:K51" si="0">SUM(J12,H12)</f>
        <v>0.79200000000000004</v>
      </c>
    </row>
    <row r="13" spans="1:11" s="74" customFormat="1" ht="32.450000000000003" customHeight="1" x14ac:dyDescent="0.25">
      <c r="A13" s="140">
        <v>3</v>
      </c>
      <c r="B13" s="49" t="s">
        <v>1963</v>
      </c>
      <c r="C13" s="15" t="s">
        <v>39</v>
      </c>
      <c r="D13" s="7" t="s">
        <v>707</v>
      </c>
      <c r="E13" s="14" t="s">
        <v>1021</v>
      </c>
      <c r="F13" s="13" t="s">
        <v>1114</v>
      </c>
      <c r="G13" s="13">
        <v>6</v>
      </c>
      <c r="H13" s="10">
        <f>0.984+0.078</f>
        <v>1.0620000000000001</v>
      </c>
      <c r="I13" s="10">
        <v>1.0620000000000001</v>
      </c>
      <c r="J13" s="10">
        <v>0</v>
      </c>
      <c r="K13" s="130">
        <f t="shared" si="0"/>
        <v>1.0620000000000001</v>
      </c>
    </row>
    <row r="14" spans="1:11" s="74" customFormat="1" ht="36" customHeight="1" x14ac:dyDescent="0.25">
      <c r="A14" s="140">
        <v>4</v>
      </c>
      <c r="B14" s="49" t="s">
        <v>1964</v>
      </c>
      <c r="C14" s="15" t="s">
        <v>38</v>
      </c>
      <c r="D14" s="7" t="s">
        <v>708</v>
      </c>
      <c r="E14" s="14" t="s">
        <v>1021</v>
      </c>
      <c r="F14" s="13" t="s">
        <v>1051</v>
      </c>
      <c r="G14" s="13">
        <v>3.5</v>
      </c>
      <c r="H14" s="10">
        <v>0</v>
      </c>
      <c r="I14" s="10">
        <v>0</v>
      </c>
      <c r="J14" s="10">
        <v>0.183</v>
      </c>
      <c r="K14" s="130">
        <f t="shared" si="0"/>
        <v>0.183</v>
      </c>
    </row>
    <row r="15" spans="1:11" s="74" customFormat="1" ht="28.9" customHeight="1" x14ac:dyDescent="0.25">
      <c r="A15" s="140">
        <v>5</v>
      </c>
      <c r="B15" s="49" t="s">
        <v>1965</v>
      </c>
      <c r="C15" s="15" t="s">
        <v>39</v>
      </c>
      <c r="D15" s="7" t="s">
        <v>709</v>
      </c>
      <c r="E15" s="14" t="s">
        <v>1021</v>
      </c>
      <c r="F15" s="13" t="s">
        <v>1051</v>
      </c>
      <c r="G15" s="13">
        <v>4</v>
      </c>
      <c r="H15" s="10">
        <f>0.228+0.058+0.151</f>
        <v>0.43700000000000006</v>
      </c>
      <c r="I15" s="10">
        <v>0.28599999999999998</v>
      </c>
      <c r="J15" s="10">
        <v>0</v>
      </c>
      <c r="K15" s="130">
        <f t="shared" si="0"/>
        <v>0.43700000000000006</v>
      </c>
    </row>
    <row r="16" spans="1:11" s="74" customFormat="1" ht="25.9" customHeight="1" x14ac:dyDescent="0.25">
      <c r="A16" s="140">
        <v>6</v>
      </c>
      <c r="B16" s="49" t="s">
        <v>1966</v>
      </c>
      <c r="C16" s="15" t="s">
        <v>39</v>
      </c>
      <c r="D16" s="7" t="s">
        <v>710</v>
      </c>
      <c r="E16" s="14" t="s">
        <v>1021</v>
      </c>
      <c r="F16" s="13" t="s">
        <v>1051</v>
      </c>
      <c r="G16" s="13">
        <v>4</v>
      </c>
      <c r="H16" s="10">
        <f>0.908+0.095</f>
        <v>1.0030000000000001</v>
      </c>
      <c r="I16" s="10">
        <v>0.90800000000000003</v>
      </c>
      <c r="J16" s="10">
        <v>0</v>
      </c>
      <c r="K16" s="130">
        <f t="shared" si="0"/>
        <v>1.0030000000000001</v>
      </c>
    </row>
    <row r="17" spans="1:11" s="74" customFormat="1" ht="28.15" customHeight="1" x14ac:dyDescent="0.25">
      <c r="A17" s="140">
        <v>7</v>
      </c>
      <c r="B17" s="49" t="s">
        <v>1967</v>
      </c>
      <c r="C17" s="15" t="s">
        <v>39</v>
      </c>
      <c r="D17" s="7" t="s">
        <v>711</v>
      </c>
      <c r="E17" s="14" t="s">
        <v>1021</v>
      </c>
      <c r="F17" s="13" t="s">
        <v>1114</v>
      </c>
      <c r="G17" s="13">
        <v>6</v>
      </c>
      <c r="H17" s="10">
        <v>0.42099999999999999</v>
      </c>
      <c r="I17" s="10">
        <v>0.42099999999999999</v>
      </c>
      <c r="J17" s="10">
        <v>0</v>
      </c>
      <c r="K17" s="130">
        <f t="shared" si="0"/>
        <v>0.42099999999999999</v>
      </c>
    </row>
    <row r="18" spans="1:11" s="74" customFormat="1" ht="30.6" customHeight="1" x14ac:dyDescent="0.25">
      <c r="A18" s="140">
        <v>8</v>
      </c>
      <c r="B18" s="49" t="s">
        <v>1968</v>
      </c>
      <c r="C18" s="15" t="s">
        <v>39</v>
      </c>
      <c r="D18" s="7" t="s">
        <v>712</v>
      </c>
      <c r="E18" s="14" t="s">
        <v>1021</v>
      </c>
      <c r="F18" s="13" t="s">
        <v>1114</v>
      </c>
      <c r="G18" s="13">
        <v>6</v>
      </c>
      <c r="H18" s="10">
        <v>0.81100000000000005</v>
      </c>
      <c r="I18" s="10">
        <v>0.81100000000000005</v>
      </c>
      <c r="J18" s="10">
        <v>0</v>
      </c>
      <c r="K18" s="130">
        <f t="shared" si="0"/>
        <v>0.81100000000000005</v>
      </c>
    </row>
    <row r="19" spans="1:11" s="74" customFormat="1" ht="32.450000000000003" customHeight="1" x14ac:dyDescent="0.25">
      <c r="A19" s="140">
        <v>9</v>
      </c>
      <c r="B19" s="49" t="s">
        <v>1969</v>
      </c>
      <c r="C19" s="15" t="s">
        <v>38</v>
      </c>
      <c r="D19" s="7" t="s">
        <v>713</v>
      </c>
      <c r="E19" s="14" t="s">
        <v>1021</v>
      </c>
      <c r="F19" s="13" t="s">
        <v>1114</v>
      </c>
      <c r="G19" s="13">
        <v>6</v>
      </c>
      <c r="H19" s="10">
        <v>0.124</v>
      </c>
      <c r="I19" s="10">
        <v>0.124</v>
      </c>
      <c r="J19" s="10">
        <v>0</v>
      </c>
      <c r="K19" s="130">
        <f t="shared" si="0"/>
        <v>0.124</v>
      </c>
    </row>
    <row r="20" spans="1:11" s="74" customFormat="1" ht="34.9" customHeight="1" x14ac:dyDescent="0.25">
      <c r="A20" s="140">
        <v>10</v>
      </c>
      <c r="B20" s="49" t="s">
        <v>1970</v>
      </c>
      <c r="C20" s="15" t="s">
        <v>38</v>
      </c>
      <c r="D20" s="7" t="s">
        <v>714</v>
      </c>
      <c r="E20" s="14" t="s">
        <v>1021</v>
      </c>
      <c r="F20" s="13" t="s">
        <v>1051</v>
      </c>
      <c r="G20" s="13">
        <v>3</v>
      </c>
      <c r="H20" s="10">
        <v>0.13</v>
      </c>
      <c r="I20" s="10">
        <v>0.13</v>
      </c>
      <c r="J20" s="10">
        <v>0</v>
      </c>
      <c r="K20" s="130">
        <f t="shared" si="0"/>
        <v>0.13</v>
      </c>
    </row>
    <row r="21" spans="1:11" s="74" customFormat="1" ht="31.15" customHeight="1" x14ac:dyDescent="0.25">
      <c r="A21" s="140">
        <v>11</v>
      </c>
      <c r="B21" s="49" t="s">
        <v>1971</v>
      </c>
      <c r="C21" s="15" t="s">
        <v>39</v>
      </c>
      <c r="D21" s="7" t="s">
        <v>715</v>
      </c>
      <c r="E21" s="14" t="s">
        <v>1021</v>
      </c>
      <c r="F21" s="13" t="s">
        <v>1114</v>
      </c>
      <c r="G21" s="13">
        <v>6</v>
      </c>
      <c r="H21" s="10">
        <f>0.807+0.352</f>
        <v>1.159</v>
      </c>
      <c r="I21" s="10">
        <v>0.80700000000000005</v>
      </c>
      <c r="J21" s="10">
        <v>0</v>
      </c>
      <c r="K21" s="130">
        <f t="shared" si="0"/>
        <v>1.159</v>
      </c>
    </row>
    <row r="22" spans="1:11" s="74" customFormat="1" ht="28.15" customHeight="1" x14ac:dyDescent="0.25">
      <c r="A22" s="140">
        <v>12</v>
      </c>
      <c r="B22" s="49" t="s">
        <v>1972</v>
      </c>
      <c r="C22" s="15" t="s">
        <v>39</v>
      </c>
      <c r="D22" s="7" t="s">
        <v>716</v>
      </c>
      <c r="E22" s="14" t="s">
        <v>1021</v>
      </c>
      <c r="F22" s="13" t="s">
        <v>1114</v>
      </c>
      <c r="G22" s="13">
        <v>6</v>
      </c>
      <c r="H22" s="10">
        <f>0.8+0.109</f>
        <v>0.90900000000000003</v>
      </c>
      <c r="I22" s="10">
        <v>0.8</v>
      </c>
      <c r="J22" s="10">
        <v>0</v>
      </c>
      <c r="K22" s="130">
        <f t="shared" si="0"/>
        <v>0.90900000000000003</v>
      </c>
    </row>
    <row r="23" spans="1:11" s="74" customFormat="1" ht="29.45" customHeight="1" x14ac:dyDescent="0.25">
      <c r="A23" s="140">
        <v>13</v>
      </c>
      <c r="B23" s="49" t="s">
        <v>1973</v>
      </c>
      <c r="C23" s="15" t="s">
        <v>39</v>
      </c>
      <c r="D23" s="7" t="s">
        <v>717</v>
      </c>
      <c r="E23" s="14" t="s">
        <v>1021</v>
      </c>
      <c r="F23" s="13" t="s">
        <v>1114</v>
      </c>
      <c r="G23" s="13">
        <v>6</v>
      </c>
      <c r="H23" s="10">
        <v>0.93700000000000006</v>
      </c>
      <c r="I23" s="10">
        <v>0.93700000000000006</v>
      </c>
      <c r="J23" s="10">
        <v>0</v>
      </c>
      <c r="K23" s="130">
        <f t="shared" si="0"/>
        <v>0.93700000000000006</v>
      </c>
    </row>
    <row r="24" spans="1:11" s="74" customFormat="1" ht="28.9" customHeight="1" x14ac:dyDescent="0.25">
      <c r="A24" s="140">
        <v>14</v>
      </c>
      <c r="B24" s="49" t="s">
        <v>1974</v>
      </c>
      <c r="C24" s="15" t="s">
        <v>39</v>
      </c>
      <c r="D24" s="7" t="s">
        <v>718</v>
      </c>
      <c r="E24" s="14" t="s">
        <v>1021</v>
      </c>
      <c r="F24" s="13" t="s">
        <v>1051</v>
      </c>
      <c r="G24" s="13">
        <v>4</v>
      </c>
      <c r="H24" s="10">
        <v>0.55400000000000005</v>
      </c>
      <c r="I24" s="10">
        <v>0.55400000000000005</v>
      </c>
      <c r="J24" s="10">
        <v>0</v>
      </c>
      <c r="K24" s="130">
        <f t="shared" si="0"/>
        <v>0.55400000000000005</v>
      </c>
    </row>
    <row r="25" spans="1:11" s="74" customFormat="1" ht="34.15" customHeight="1" x14ac:dyDescent="0.25">
      <c r="A25" s="140">
        <v>15</v>
      </c>
      <c r="B25" s="49" t="s">
        <v>1975</v>
      </c>
      <c r="C25" s="15" t="s">
        <v>38</v>
      </c>
      <c r="D25" s="7" t="s">
        <v>1020</v>
      </c>
      <c r="E25" s="14" t="s">
        <v>1021</v>
      </c>
      <c r="F25" s="13" t="s">
        <v>1051</v>
      </c>
      <c r="G25" s="13">
        <v>3.5</v>
      </c>
      <c r="H25" s="10">
        <v>0</v>
      </c>
      <c r="I25" s="10">
        <v>0</v>
      </c>
      <c r="J25" s="10">
        <v>0.98499999999999999</v>
      </c>
      <c r="K25" s="130">
        <f t="shared" si="0"/>
        <v>0.98499999999999999</v>
      </c>
    </row>
    <row r="26" spans="1:11" s="74" customFormat="1" ht="29.45" customHeight="1" x14ac:dyDescent="0.25">
      <c r="A26" s="140">
        <v>16</v>
      </c>
      <c r="B26" s="49" t="s">
        <v>1976</v>
      </c>
      <c r="C26" s="15" t="s">
        <v>39</v>
      </c>
      <c r="D26" s="7" t="s">
        <v>719</v>
      </c>
      <c r="E26" s="14" t="s">
        <v>1021</v>
      </c>
      <c r="F26" s="13" t="s">
        <v>1114</v>
      </c>
      <c r="G26" s="13">
        <v>6</v>
      </c>
      <c r="H26" s="10">
        <f>0.604+0.201</f>
        <v>0.80499999999999994</v>
      </c>
      <c r="I26" s="10">
        <v>0.60399999999999998</v>
      </c>
      <c r="J26" s="10">
        <v>0</v>
      </c>
      <c r="K26" s="130">
        <f t="shared" si="0"/>
        <v>0.80499999999999994</v>
      </c>
    </row>
    <row r="27" spans="1:11" s="74" customFormat="1" ht="27.6" customHeight="1" x14ac:dyDescent="0.25">
      <c r="A27" s="140">
        <v>17</v>
      </c>
      <c r="B27" s="49" t="s">
        <v>1977</v>
      </c>
      <c r="C27" s="15" t="s">
        <v>39</v>
      </c>
      <c r="D27" s="7" t="s">
        <v>720</v>
      </c>
      <c r="E27" s="14" t="s">
        <v>1021</v>
      </c>
      <c r="F27" s="13" t="s">
        <v>1114</v>
      </c>
      <c r="G27" s="13">
        <v>6</v>
      </c>
      <c r="H27" s="10">
        <v>0.879</v>
      </c>
      <c r="I27" s="10">
        <v>0.879</v>
      </c>
      <c r="J27" s="10">
        <v>0</v>
      </c>
      <c r="K27" s="130">
        <f t="shared" si="0"/>
        <v>0.879</v>
      </c>
    </row>
    <row r="28" spans="1:11" s="74" customFormat="1" ht="29.45" customHeight="1" x14ac:dyDescent="0.25">
      <c r="A28" s="140">
        <v>18</v>
      </c>
      <c r="B28" s="49" t="s">
        <v>1978</v>
      </c>
      <c r="C28" s="15" t="s">
        <v>976</v>
      </c>
      <c r="D28" s="7" t="s">
        <v>721</v>
      </c>
      <c r="E28" s="14" t="s">
        <v>1021</v>
      </c>
      <c r="F28" s="13" t="s">
        <v>1051</v>
      </c>
      <c r="G28" s="13">
        <v>4</v>
      </c>
      <c r="H28" s="10">
        <f>0.09+0.104</f>
        <v>0.19400000000000001</v>
      </c>
      <c r="I28" s="10">
        <v>0.09</v>
      </c>
      <c r="J28" s="10">
        <v>0</v>
      </c>
      <c r="K28" s="130">
        <f t="shared" si="0"/>
        <v>0.19400000000000001</v>
      </c>
    </row>
    <row r="29" spans="1:11" s="74" customFormat="1" ht="34.9" customHeight="1" x14ac:dyDescent="0.25">
      <c r="A29" s="140">
        <v>19</v>
      </c>
      <c r="B29" s="49" t="s">
        <v>1979</v>
      </c>
      <c r="C29" s="15" t="s">
        <v>39</v>
      </c>
      <c r="D29" s="7" t="s">
        <v>722</v>
      </c>
      <c r="E29" s="14" t="s">
        <v>1021</v>
      </c>
      <c r="F29" s="13" t="s">
        <v>1051</v>
      </c>
      <c r="G29" s="13">
        <v>4</v>
      </c>
      <c r="H29" s="10">
        <v>0.2</v>
      </c>
      <c r="I29" s="10">
        <v>0.2</v>
      </c>
      <c r="J29" s="10">
        <v>0</v>
      </c>
      <c r="K29" s="130">
        <f t="shared" si="0"/>
        <v>0.2</v>
      </c>
    </row>
    <row r="30" spans="1:11" s="74" customFormat="1" ht="25.9" customHeight="1" x14ac:dyDescent="0.25">
      <c r="A30" s="140">
        <v>20</v>
      </c>
      <c r="B30" s="49" t="s">
        <v>1980</v>
      </c>
      <c r="C30" s="15" t="s">
        <v>39</v>
      </c>
      <c r="D30" s="7" t="s">
        <v>723</v>
      </c>
      <c r="E30" s="14" t="s">
        <v>1021</v>
      </c>
      <c r="F30" s="13" t="s">
        <v>1051</v>
      </c>
      <c r="G30" s="13">
        <v>4</v>
      </c>
      <c r="H30" s="10">
        <v>0.39800000000000002</v>
      </c>
      <c r="I30" s="10">
        <v>0</v>
      </c>
      <c r="J30" s="10">
        <v>0.69699999999999995</v>
      </c>
      <c r="K30" s="130">
        <f t="shared" si="0"/>
        <v>1.095</v>
      </c>
    </row>
    <row r="31" spans="1:11" s="74" customFormat="1" ht="27.6" customHeight="1" x14ac:dyDescent="0.25">
      <c r="A31" s="140">
        <v>21</v>
      </c>
      <c r="B31" s="49" t="s">
        <v>1981</v>
      </c>
      <c r="C31" s="15" t="s">
        <v>39</v>
      </c>
      <c r="D31" s="7" t="s">
        <v>724</v>
      </c>
      <c r="E31" s="14" t="s">
        <v>1021</v>
      </c>
      <c r="F31" s="13" t="s">
        <v>1051</v>
      </c>
      <c r="G31" s="13">
        <v>4</v>
      </c>
      <c r="H31" s="10">
        <v>0.50600000000000001</v>
      </c>
      <c r="I31" s="10">
        <v>0.50600000000000001</v>
      </c>
      <c r="J31" s="10">
        <v>0</v>
      </c>
      <c r="K31" s="130">
        <f t="shared" si="0"/>
        <v>0.50600000000000001</v>
      </c>
    </row>
    <row r="32" spans="1:11" s="74" customFormat="1" ht="31.15" customHeight="1" x14ac:dyDescent="0.25">
      <c r="A32" s="140">
        <v>22</v>
      </c>
      <c r="B32" s="49" t="s">
        <v>1982</v>
      </c>
      <c r="C32" s="15" t="s">
        <v>39</v>
      </c>
      <c r="D32" s="7" t="s">
        <v>725</v>
      </c>
      <c r="E32" s="14" t="s">
        <v>1021</v>
      </c>
      <c r="F32" s="13" t="s">
        <v>1051</v>
      </c>
      <c r="G32" s="13">
        <v>4</v>
      </c>
      <c r="H32" s="10">
        <v>1.2330000000000001</v>
      </c>
      <c r="I32" s="10">
        <f>0.198+0.29</f>
        <v>0.48799999999999999</v>
      </c>
      <c r="J32" s="10">
        <v>0.40799999999999997</v>
      </c>
      <c r="K32" s="130">
        <f t="shared" si="0"/>
        <v>1.641</v>
      </c>
    </row>
    <row r="33" spans="1:11" s="74" customFormat="1" ht="30.6" customHeight="1" x14ac:dyDescent="0.25">
      <c r="A33" s="140">
        <v>23</v>
      </c>
      <c r="B33" s="49" t="s">
        <v>1983</v>
      </c>
      <c r="C33" s="15" t="s">
        <v>976</v>
      </c>
      <c r="D33" s="7" t="s">
        <v>726</v>
      </c>
      <c r="E33" s="14" t="s">
        <v>1021</v>
      </c>
      <c r="F33" s="13" t="s">
        <v>1051</v>
      </c>
      <c r="G33" s="13">
        <v>4</v>
      </c>
      <c r="H33" s="10">
        <v>0.17799999999999999</v>
      </c>
      <c r="I33" s="10">
        <v>0.17799999999999999</v>
      </c>
      <c r="J33" s="10">
        <v>0</v>
      </c>
      <c r="K33" s="130">
        <f t="shared" si="0"/>
        <v>0.17799999999999999</v>
      </c>
    </row>
    <row r="34" spans="1:11" s="74" customFormat="1" ht="27.6" customHeight="1" x14ac:dyDescent="0.25">
      <c r="A34" s="140">
        <v>24</v>
      </c>
      <c r="B34" s="49" t="s">
        <v>1984</v>
      </c>
      <c r="C34" s="15" t="s">
        <v>39</v>
      </c>
      <c r="D34" s="7" t="s">
        <v>727</v>
      </c>
      <c r="E34" s="14" t="s">
        <v>1021</v>
      </c>
      <c r="F34" s="13" t="s">
        <v>1051</v>
      </c>
      <c r="G34" s="13">
        <v>3.5</v>
      </c>
      <c r="H34" s="10">
        <v>0</v>
      </c>
      <c r="I34" s="10">
        <v>0</v>
      </c>
      <c r="J34" s="10">
        <v>0.70599999999999996</v>
      </c>
      <c r="K34" s="130">
        <f t="shared" si="0"/>
        <v>0.70599999999999996</v>
      </c>
    </row>
    <row r="35" spans="1:11" s="74" customFormat="1" ht="31.9" customHeight="1" x14ac:dyDescent="0.25">
      <c r="A35" s="140">
        <v>25</v>
      </c>
      <c r="B35" s="49" t="s">
        <v>1985</v>
      </c>
      <c r="C35" s="15" t="s">
        <v>38</v>
      </c>
      <c r="D35" s="7" t="s">
        <v>728</v>
      </c>
      <c r="E35" s="14" t="s">
        <v>1021</v>
      </c>
      <c r="F35" s="13" t="s">
        <v>1051</v>
      </c>
      <c r="G35" s="13">
        <v>3.5</v>
      </c>
      <c r="H35" s="10">
        <v>0.51400000000000001</v>
      </c>
      <c r="I35" s="10">
        <v>0</v>
      </c>
      <c r="J35" s="10">
        <v>0</v>
      </c>
      <c r="K35" s="130">
        <f t="shared" si="0"/>
        <v>0.51400000000000001</v>
      </c>
    </row>
    <row r="36" spans="1:11" s="74" customFormat="1" ht="34.15" customHeight="1" x14ac:dyDescent="0.25">
      <c r="A36" s="140">
        <v>26</v>
      </c>
      <c r="B36" s="49" t="s">
        <v>1986</v>
      </c>
      <c r="C36" s="15" t="s">
        <v>38</v>
      </c>
      <c r="D36" s="7" t="s">
        <v>729</v>
      </c>
      <c r="E36" s="14" t="s">
        <v>1021</v>
      </c>
      <c r="F36" s="13" t="s">
        <v>1051</v>
      </c>
      <c r="G36" s="13">
        <v>3.5</v>
      </c>
      <c r="H36" s="10">
        <v>0</v>
      </c>
      <c r="I36" s="10">
        <v>0</v>
      </c>
      <c r="J36" s="10">
        <v>1.2090000000000001</v>
      </c>
      <c r="K36" s="130">
        <f t="shared" si="0"/>
        <v>1.2090000000000001</v>
      </c>
    </row>
    <row r="37" spans="1:11" s="74" customFormat="1" ht="34.15" customHeight="1" x14ac:dyDescent="0.25">
      <c r="A37" s="140">
        <v>27</v>
      </c>
      <c r="B37" s="49" t="s">
        <v>1987</v>
      </c>
      <c r="C37" s="15" t="s">
        <v>38</v>
      </c>
      <c r="D37" s="7" t="s">
        <v>730</v>
      </c>
      <c r="E37" s="14" t="s">
        <v>1021</v>
      </c>
      <c r="F37" s="13" t="s">
        <v>1051</v>
      </c>
      <c r="G37" s="13">
        <v>4</v>
      </c>
      <c r="H37" s="10">
        <v>0.89400000000000002</v>
      </c>
      <c r="I37" s="10">
        <v>0.89400000000000002</v>
      </c>
      <c r="J37" s="10">
        <v>0</v>
      </c>
      <c r="K37" s="130">
        <f t="shared" si="0"/>
        <v>0.89400000000000002</v>
      </c>
    </row>
    <row r="38" spans="1:11" s="74" customFormat="1" ht="32.450000000000003" customHeight="1" x14ac:dyDescent="0.25">
      <c r="A38" s="140">
        <v>28</v>
      </c>
      <c r="B38" s="49" t="s">
        <v>1988</v>
      </c>
      <c r="C38" s="15" t="s">
        <v>38</v>
      </c>
      <c r="D38" s="7" t="s">
        <v>731</v>
      </c>
      <c r="E38" s="14" t="s">
        <v>1021</v>
      </c>
      <c r="F38" s="13" t="s">
        <v>1051</v>
      </c>
      <c r="G38" s="13">
        <v>3.5</v>
      </c>
      <c r="H38" s="10">
        <v>0</v>
      </c>
      <c r="I38" s="10">
        <v>0</v>
      </c>
      <c r="J38" s="10">
        <v>1.391</v>
      </c>
      <c r="K38" s="130">
        <f t="shared" si="0"/>
        <v>1.391</v>
      </c>
    </row>
    <row r="39" spans="1:11" s="74" customFormat="1" ht="30.6" customHeight="1" x14ac:dyDescent="0.25">
      <c r="A39" s="140">
        <v>29</v>
      </c>
      <c r="B39" s="49" t="s">
        <v>1989</v>
      </c>
      <c r="C39" s="15" t="s">
        <v>38</v>
      </c>
      <c r="D39" s="7" t="s">
        <v>732</v>
      </c>
      <c r="E39" s="14" t="s">
        <v>1021</v>
      </c>
      <c r="F39" s="13" t="s">
        <v>1051</v>
      </c>
      <c r="G39" s="13">
        <v>3.5</v>
      </c>
      <c r="H39" s="10">
        <v>0</v>
      </c>
      <c r="I39" s="10">
        <v>0</v>
      </c>
      <c r="J39" s="10">
        <v>3.97</v>
      </c>
      <c r="K39" s="130">
        <f t="shared" si="0"/>
        <v>3.97</v>
      </c>
    </row>
    <row r="40" spans="1:11" s="74" customFormat="1" ht="32.450000000000003" customHeight="1" x14ac:dyDescent="0.25">
      <c r="A40" s="140">
        <v>30</v>
      </c>
      <c r="B40" s="49" t="s">
        <v>1990</v>
      </c>
      <c r="C40" s="15" t="s">
        <v>38</v>
      </c>
      <c r="D40" s="7" t="s">
        <v>733</v>
      </c>
      <c r="E40" s="14" t="s">
        <v>1021</v>
      </c>
      <c r="F40" s="13" t="s">
        <v>1051</v>
      </c>
      <c r="G40" s="13">
        <v>3.5</v>
      </c>
      <c r="H40" s="10">
        <v>0</v>
      </c>
      <c r="I40" s="10">
        <v>0</v>
      </c>
      <c r="J40" s="10">
        <v>3.53</v>
      </c>
      <c r="K40" s="130">
        <f t="shared" si="0"/>
        <v>3.53</v>
      </c>
    </row>
    <row r="41" spans="1:11" s="74" customFormat="1" ht="33" customHeight="1" x14ac:dyDescent="0.25">
      <c r="A41" s="140">
        <v>31</v>
      </c>
      <c r="B41" s="49" t="s">
        <v>1991</v>
      </c>
      <c r="C41" s="15" t="s">
        <v>38</v>
      </c>
      <c r="D41" s="7" t="s">
        <v>734</v>
      </c>
      <c r="E41" s="14" t="s">
        <v>1021</v>
      </c>
      <c r="F41" s="13" t="s">
        <v>1051</v>
      </c>
      <c r="G41" s="13">
        <v>3.5</v>
      </c>
      <c r="H41" s="10">
        <v>0</v>
      </c>
      <c r="I41" s="10">
        <v>0</v>
      </c>
      <c r="J41" s="10">
        <v>2.4849999999999999</v>
      </c>
      <c r="K41" s="130">
        <f t="shared" si="0"/>
        <v>2.4849999999999999</v>
      </c>
    </row>
    <row r="42" spans="1:11" s="74" customFormat="1" ht="33" customHeight="1" x14ac:dyDescent="0.25">
      <c r="A42" s="140">
        <v>32</v>
      </c>
      <c r="B42" s="49" t="s">
        <v>1992</v>
      </c>
      <c r="C42" s="15" t="s">
        <v>38</v>
      </c>
      <c r="D42" s="7" t="s">
        <v>735</v>
      </c>
      <c r="E42" s="14" t="s">
        <v>1021</v>
      </c>
      <c r="F42" s="13" t="s">
        <v>1051</v>
      </c>
      <c r="G42" s="13">
        <v>3.5</v>
      </c>
      <c r="H42" s="10">
        <v>0</v>
      </c>
      <c r="I42" s="10">
        <v>0</v>
      </c>
      <c r="J42" s="10">
        <v>0.85799999999999998</v>
      </c>
      <c r="K42" s="130">
        <f t="shared" si="0"/>
        <v>0.85799999999999998</v>
      </c>
    </row>
    <row r="43" spans="1:11" s="74" customFormat="1" ht="25.15" customHeight="1" x14ac:dyDescent="0.25">
      <c r="A43" s="140">
        <v>33</v>
      </c>
      <c r="B43" s="49" t="s">
        <v>1993</v>
      </c>
      <c r="C43" s="15" t="s">
        <v>38</v>
      </c>
      <c r="D43" s="7" t="s">
        <v>736</v>
      </c>
      <c r="E43" s="14" t="s">
        <v>1021</v>
      </c>
      <c r="F43" s="13" t="s">
        <v>1051</v>
      </c>
      <c r="G43" s="13">
        <v>3.5</v>
      </c>
      <c r="H43" s="10">
        <v>0</v>
      </c>
      <c r="I43" s="10">
        <v>0</v>
      </c>
      <c r="J43" s="10">
        <v>1.226</v>
      </c>
      <c r="K43" s="130">
        <f t="shared" si="0"/>
        <v>1.226</v>
      </c>
    </row>
    <row r="44" spans="1:11" s="74" customFormat="1" ht="28.9" customHeight="1" x14ac:dyDescent="0.25">
      <c r="A44" s="140">
        <v>34</v>
      </c>
      <c r="B44" s="49" t="s">
        <v>1994</v>
      </c>
      <c r="C44" s="15" t="s">
        <v>38</v>
      </c>
      <c r="D44" s="7" t="s">
        <v>737</v>
      </c>
      <c r="E44" s="14" t="s">
        <v>1021</v>
      </c>
      <c r="F44" s="13" t="s">
        <v>1051</v>
      </c>
      <c r="G44" s="13">
        <v>3.5</v>
      </c>
      <c r="H44" s="10">
        <v>0</v>
      </c>
      <c r="I44" s="10">
        <v>0</v>
      </c>
      <c r="J44" s="10">
        <v>0.61099999999999999</v>
      </c>
      <c r="K44" s="130">
        <f t="shared" si="0"/>
        <v>0.61099999999999999</v>
      </c>
    </row>
    <row r="45" spans="1:11" s="74" customFormat="1" ht="35.450000000000003" customHeight="1" x14ac:dyDescent="0.25">
      <c r="A45" s="140">
        <v>35</v>
      </c>
      <c r="B45" s="49" t="s">
        <v>1995</v>
      </c>
      <c r="C45" s="15" t="s">
        <v>38</v>
      </c>
      <c r="D45" s="7" t="s">
        <v>738</v>
      </c>
      <c r="E45" s="14" t="s">
        <v>1021</v>
      </c>
      <c r="F45" s="13" t="s">
        <v>1051</v>
      </c>
      <c r="G45" s="13">
        <v>3.5</v>
      </c>
      <c r="H45" s="10">
        <v>0</v>
      </c>
      <c r="I45" s="10">
        <v>0</v>
      </c>
      <c r="J45" s="10">
        <v>0.42</v>
      </c>
      <c r="K45" s="130">
        <f t="shared" si="0"/>
        <v>0.42</v>
      </c>
    </row>
    <row r="46" spans="1:11" s="74" customFormat="1" ht="49.9" customHeight="1" x14ac:dyDescent="0.25">
      <c r="A46" s="140">
        <v>36</v>
      </c>
      <c r="B46" s="49" t="s">
        <v>1996</v>
      </c>
      <c r="C46" s="15" t="s">
        <v>38</v>
      </c>
      <c r="D46" s="7" t="s">
        <v>739</v>
      </c>
      <c r="E46" s="14" t="s">
        <v>1021</v>
      </c>
      <c r="F46" s="13" t="s">
        <v>1051</v>
      </c>
      <c r="G46" s="13">
        <v>3.5</v>
      </c>
      <c r="H46" s="10">
        <v>0</v>
      </c>
      <c r="I46" s="10">
        <v>0</v>
      </c>
      <c r="J46" s="10">
        <v>2.496</v>
      </c>
      <c r="K46" s="130">
        <f t="shared" si="0"/>
        <v>2.496</v>
      </c>
    </row>
    <row r="47" spans="1:11" s="74" customFormat="1" ht="31.9" customHeight="1" x14ac:dyDescent="0.25">
      <c r="A47" s="140">
        <v>37</v>
      </c>
      <c r="B47" s="49" t="s">
        <v>1997</v>
      </c>
      <c r="C47" s="15" t="s">
        <v>38</v>
      </c>
      <c r="D47" s="7" t="s">
        <v>740</v>
      </c>
      <c r="E47" s="14" t="s">
        <v>1021</v>
      </c>
      <c r="F47" s="13" t="s">
        <v>1051</v>
      </c>
      <c r="G47" s="13">
        <v>3.5</v>
      </c>
      <c r="H47" s="10">
        <v>0</v>
      </c>
      <c r="I47" s="10">
        <v>0</v>
      </c>
      <c r="J47" s="10">
        <v>3.5529999999999999</v>
      </c>
      <c r="K47" s="130">
        <f t="shared" si="0"/>
        <v>3.5529999999999999</v>
      </c>
    </row>
    <row r="48" spans="1:11" s="74" customFormat="1" ht="30" customHeight="1" x14ac:dyDescent="0.25">
      <c r="A48" s="140">
        <v>38</v>
      </c>
      <c r="B48" s="49" t="s">
        <v>1998</v>
      </c>
      <c r="C48" s="15" t="s">
        <v>38</v>
      </c>
      <c r="D48" s="7" t="s">
        <v>741</v>
      </c>
      <c r="E48" s="14" t="s">
        <v>1021</v>
      </c>
      <c r="F48" s="13" t="s">
        <v>1051</v>
      </c>
      <c r="G48" s="13">
        <v>3.5</v>
      </c>
      <c r="H48" s="10">
        <v>0</v>
      </c>
      <c r="I48" s="10">
        <v>0</v>
      </c>
      <c r="J48" s="10">
        <v>3.0510000000000002</v>
      </c>
      <c r="K48" s="130">
        <f t="shared" si="0"/>
        <v>3.0510000000000002</v>
      </c>
    </row>
    <row r="49" spans="1:11" s="74" customFormat="1" ht="28.15" customHeight="1" x14ac:dyDescent="0.25">
      <c r="A49" s="140">
        <v>39</v>
      </c>
      <c r="B49" s="49" t="s">
        <v>1999</v>
      </c>
      <c r="C49" s="15" t="s">
        <v>38</v>
      </c>
      <c r="D49" s="7" t="s">
        <v>742</v>
      </c>
      <c r="E49" s="14" t="s">
        <v>1021</v>
      </c>
      <c r="F49" s="13" t="s">
        <v>1051</v>
      </c>
      <c r="G49" s="13">
        <v>3.5</v>
      </c>
      <c r="H49" s="10">
        <v>0</v>
      </c>
      <c r="I49" s="10">
        <v>0</v>
      </c>
      <c r="J49" s="10">
        <v>3.1150000000000002</v>
      </c>
      <c r="K49" s="130">
        <f t="shared" si="0"/>
        <v>3.1150000000000002</v>
      </c>
    </row>
    <row r="50" spans="1:11" s="74" customFormat="1" ht="27.6" customHeight="1" x14ac:dyDescent="0.25">
      <c r="A50" s="140">
        <v>40</v>
      </c>
      <c r="B50" s="49" t="s">
        <v>2000</v>
      </c>
      <c r="C50" s="15" t="s">
        <v>38</v>
      </c>
      <c r="D50" s="7" t="s">
        <v>743</v>
      </c>
      <c r="E50" s="14" t="s">
        <v>1021</v>
      </c>
      <c r="F50" s="13" t="s">
        <v>1051</v>
      </c>
      <c r="G50" s="13">
        <v>3.5</v>
      </c>
      <c r="H50" s="10">
        <v>1.042</v>
      </c>
      <c r="I50" s="10">
        <v>0</v>
      </c>
      <c r="J50" s="10">
        <v>0</v>
      </c>
      <c r="K50" s="130">
        <f t="shared" si="0"/>
        <v>1.042</v>
      </c>
    </row>
    <row r="51" spans="1:11" s="74" customFormat="1" ht="30" customHeight="1" x14ac:dyDescent="0.25">
      <c r="A51" s="140">
        <v>41</v>
      </c>
      <c r="B51" s="49" t="s">
        <v>2001</v>
      </c>
      <c r="C51" s="15" t="s">
        <v>38</v>
      </c>
      <c r="D51" s="7" t="s">
        <v>986</v>
      </c>
      <c r="E51" s="14" t="s">
        <v>1021</v>
      </c>
      <c r="F51" s="13" t="s">
        <v>1051</v>
      </c>
      <c r="G51" s="13">
        <v>3.5</v>
      </c>
      <c r="H51" s="10">
        <v>0</v>
      </c>
      <c r="I51" s="10">
        <v>0</v>
      </c>
      <c r="J51" s="10">
        <v>3.5720000000000001</v>
      </c>
      <c r="K51" s="130">
        <f t="shared" si="0"/>
        <v>3.5720000000000001</v>
      </c>
    </row>
  </sheetData>
  <sheetProtection insertRows="0" deleteRows="0" sort="0"/>
  <mergeCells count="9">
    <mergeCell ref="K7:K8"/>
    <mergeCell ref="G7:G8"/>
    <mergeCell ref="F7:F8"/>
    <mergeCell ref="C1:I1"/>
    <mergeCell ref="A7:A8"/>
    <mergeCell ref="B7:B8"/>
    <mergeCell ref="C7:C8"/>
    <mergeCell ref="D7:D8"/>
    <mergeCell ref="E7:E8"/>
  </mergeCells>
  <conditionalFormatting sqref="K11:K51">
    <cfRule type="expression" dxfId="32" priority="2">
      <formula>$H11+$J11&lt;&gt;$K11</formula>
    </cfRule>
  </conditionalFormatting>
  <conditionalFormatting sqref="H10:K10">
    <cfRule type="expression" dxfId="31" priority="226">
      <formula>H$10&lt;&gt;SUM(H$11:H$394)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BreakPreview" zoomScale="80" zoomScaleNormal="100" zoomScaleSheetLayoutView="80" workbookViewId="0">
      <selection activeCell="O39" sqref="O39"/>
    </sheetView>
  </sheetViews>
  <sheetFormatPr defaultColWidth="9.140625" defaultRowHeight="15" x14ac:dyDescent="0.25"/>
  <cols>
    <col min="1" max="1" width="7.140625" style="80" customWidth="1"/>
    <col min="2" max="2" width="23.42578125" style="80" customWidth="1"/>
    <col min="3" max="3" width="14" style="80" customWidth="1"/>
    <col min="4" max="4" width="34.140625" style="80" customWidth="1"/>
    <col min="5" max="5" width="22.42578125" style="80" customWidth="1"/>
    <col min="6" max="6" width="10.42578125" style="80" customWidth="1"/>
    <col min="7" max="7" width="9.5703125" style="80" customWidth="1"/>
    <col min="8" max="8" width="11.5703125" style="80" customWidth="1"/>
    <col min="9" max="9" width="15" style="80" customWidth="1"/>
    <col min="10" max="10" width="11.28515625" style="80" customWidth="1"/>
    <col min="11" max="11" width="13.7109375" style="85" customWidth="1"/>
    <col min="12" max="16384" width="9.140625" style="80"/>
  </cols>
  <sheetData>
    <row r="1" spans="1:11" s="4" customFormat="1" ht="28.9" customHeight="1" x14ac:dyDescent="0.25">
      <c r="B1" s="5"/>
      <c r="C1" s="180" t="s">
        <v>3204</v>
      </c>
      <c r="D1" s="180"/>
      <c r="E1" s="180"/>
      <c r="F1" s="180"/>
      <c r="G1" s="180"/>
      <c r="H1" s="180"/>
      <c r="I1" s="180"/>
      <c r="J1" s="5"/>
    </row>
    <row r="2" spans="1:11" s="4" customFormat="1" x14ac:dyDescent="0.25">
      <c r="C2" s="152"/>
      <c r="D2" s="152"/>
      <c r="E2" s="152"/>
      <c r="F2" s="152"/>
      <c r="G2" s="152"/>
      <c r="H2" s="152"/>
      <c r="I2" s="152"/>
      <c r="K2" s="153" t="s">
        <v>3187</v>
      </c>
    </row>
    <row r="3" spans="1:11" s="4" customFormat="1" x14ac:dyDescent="0.25">
      <c r="C3" s="152"/>
      <c r="D3" s="152"/>
      <c r="E3" s="152"/>
      <c r="F3" s="152"/>
      <c r="G3" s="152"/>
      <c r="H3" s="152"/>
      <c r="I3" s="152"/>
      <c r="K3" s="153" t="s">
        <v>3188</v>
      </c>
    </row>
    <row r="4" spans="1:11" s="4" customFormat="1" x14ac:dyDescent="0.25">
      <c r="C4" s="152"/>
      <c r="D4" s="152"/>
      <c r="E4" s="152"/>
      <c r="F4" s="152"/>
      <c r="G4" s="152"/>
      <c r="H4" s="152"/>
      <c r="I4" s="152"/>
      <c r="K4" s="153" t="s">
        <v>3205</v>
      </c>
    </row>
    <row r="5" spans="1:11" s="4" customFormat="1" x14ac:dyDescent="0.25">
      <c r="K5" s="153" t="s">
        <v>3206</v>
      </c>
    </row>
    <row r="7" spans="1:11" s="74" customFormat="1" ht="41.25" customHeight="1" x14ac:dyDescent="0.25">
      <c r="A7" s="171" t="s">
        <v>15</v>
      </c>
      <c r="B7" s="171" t="s">
        <v>0</v>
      </c>
      <c r="C7" s="171" t="s">
        <v>13</v>
      </c>
      <c r="D7" s="171" t="s">
        <v>1</v>
      </c>
      <c r="E7" s="171" t="s">
        <v>6</v>
      </c>
      <c r="F7" s="171" t="s">
        <v>14</v>
      </c>
      <c r="G7" s="171" t="s">
        <v>958</v>
      </c>
      <c r="H7" s="43"/>
      <c r="I7" s="44" t="s">
        <v>16</v>
      </c>
      <c r="J7" s="66"/>
      <c r="K7" s="171" t="s">
        <v>5</v>
      </c>
    </row>
    <row r="8" spans="1:11" s="74" customFormat="1" ht="60" customHeight="1" x14ac:dyDescent="0.25">
      <c r="A8" s="172"/>
      <c r="B8" s="172"/>
      <c r="C8" s="172"/>
      <c r="D8" s="172"/>
      <c r="E8" s="172"/>
      <c r="F8" s="172"/>
      <c r="G8" s="171"/>
      <c r="H8" s="65" t="s">
        <v>3</v>
      </c>
      <c r="I8" s="65" t="s">
        <v>24</v>
      </c>
      <c r="J8" s="67" t="s">
        <v>4</v>
      </c>
      <c r="K8" s="182"/>
    </row>
    <row r="9" spans="1:11" s="74" customFormat="1" ht="21.75" customHeight="1" x14ac:dyDescent="0.25">
      <c r="A9" s="131">
        <v>1</v>
      </c>
      <c r="B9" s="131">
        <v>2</v>
      </c>
      <c r="C9" s="131">
        <v>3</v>
      </c>
      <c r="D9" s="131">
        <v>4</v>
      </c>
      <c r="E9" s="131">
        <v>5</v>
      </c>
      <c r="F9" s="132">
        <v>6</v>
      </c>
      <c r="G9" s="132">
        <v>7</v>
      </c>
      <c r="H9" s="132">
        <v>8</v>
      </c>
      <c r="I9" s="131">
        <v>9</v>
      </c>
      <c r="J9" s="131">
        <v>10</v>
      </c>
      <c r="K9" s="50">
        <v>11</v>
      </c>
    </row>
    <row r="10" spans="1:11" s="74" customFormat="1" ht="29.25" customHeight="1" x14ac:dyDescent="0.25">
      <c r="A10" s="133" t="s">
        <v>2</v>
      </c>
      <c r="B10" s="134"/>
      <c r="C10" s="134"/>
      <c r="D10" s="134"/>
      <c r="E10" s="134"/>
      <c r="F10" s="135"/>
      <c r="G10" s="135"/>
      <c r="H10" s="36">
        <f>SUM(H11:H307)</f>
        <v>22.874000000000002</v>
      </c>
      <c r="I10" s="36">
        <f>SUM(I11:I307)</f>
        <v>7.3090000000000002</v>
      </c>
      <c r="J10" s="36">
        <f>SUM(J11:J307)</f>
        <v>29.894999999999996</v>
      </c>
      <c r="K10" s="130">
        <f>SUM(K11:K307)</f>
        <v>52.769000000000013</v>
      </c>
    </row>
    <row r="11" spans="1:11" s="74" customFormat="1" ht="29.25" customHeight="1" x14ac:dyDescent="0.25">
      <c r="A11" s="67">
        <v>1</v>
      </c>
      <c r="B11" s="49" t="s">
        <v>2002</v>
      </c>
      <c r="C11" s="15" t="s">
        <v>39</v>
      </c>
      <c r="D11" s="7" t="s">
        <v>816</v>
      </c>
      <c r="E11" s="14" t="s">
        <v>1027</v>
      </c>
      <c r="F11" s="13" t="s">
        <v>1051</v>
      </c>
      <c r="G11" s="13">
        <v>3.5</v>
      </c>
      <c r="H11" s="10">
        <f>1.048+0.883+0.715+0.1+0.49+0.268</f>
        <v>3.5039999999999996</v>
      </c>
      <c r="I11" s="10">
        <f>1.048+0.883+0.715+0.1</f>
        <v>2.746</v>
      </c>
      <c r="J11" s="10">
        <v>0</v>
      </c>
      <c r="K11" s="130">
        <f>SUM(J11,H11)</f>
        <v>3.5039999999999996</v>
      </c>
    </row>
    <row r="12" spans="1:11" s="74" customFormat="1" ht="30" customHeight="1" x14ac:dyDescent="0.25">
      <c r="A12" s="67">
        <v>2</v>
      </c>
      <c r="B12" s="49" t="s">
        <v>2003</v>
      </c>
      <c r="C12" s="15" t="s">
        <v>38</v>
      </c>
      <c r="D12" s="7" t="s">
        <v>1022</v>
      </c>
      <c r="E12" s="14" t="s">
        <v>1027</v>
      </c>
      <c r="F12" s="13" t="s">
        <v>1051</v>
      </c>
      <c r="G12" s="13">
        <v>3.5</v>
      </c>
      <c r="H12" s="10">
        <v>0.36499999999999999</v>
      </c>
      <c r="I12" s="10">
        <v>0</v>
      </c>
      <c r="J12" s="10">
        <v>0</v>
      </c>
      <c r="K12" s="130">
        <f t="shared" ref="K12:K32" si="0">SUM(J12,H12)</f>
        <v>0.36499999999999999</v>
      </c>
    </row>
    <row r="13" spans="1:11" s="74" customFormat="1" ht="30.6" customHeight="1" x14ac:dyDescent="0.25">
      <c r="A13" s="140">
        <v>3</v>
      </c>
      <c r="B13" s="49" t="s">
        <v>2004</v>
      </c>
      <c r="C13" s="15" t="s">
        <v>39</v>
      </c>
      <c r="D13" s="7" t="s">
        <v>817</v>
      </c>
      <c r="E13" s="14" t="s">
        <v>1027</v>
      </c>
      <c r="F13" s="13" t="s">
        <v>1051</v>
      </c>
      <c r="G13" s="13">
        <v>4</v>
      </c>
      <c r="H13" s="10">
        <f>1.048+0.95+0.17+0.525</f>
        <v>2.6930000000000001</v>
      </c>
      <c r="I13" s="10">
        <f>0.95+1.048</f>
        <v>1.998</v>
      </c>
      <c r="J13" s="10">
        <v>0</v>
      </c>
      <c r="K13" s="130">
        <f t="shared" si="0"/>
        <v>2.6930000000000001</v>
      </c>
    </row>
    <row r="14" spans="1:11" s="74" customFormat="1" ht="33" customHeight="1" x14ac:dyDescent="0.25">
      <c r="A14" s="140">
        <v>4</v>
      </c>
      <c r="B14" s="49" t="s">
        <v>2005</v>
      </c>
      <c r="C14" s="15" t="s">
        <v>38</v>
      </c>
      <c r="D14" s="7" t="s">
        <v>1023</v>
      </c>
      <c r="E14" s="14" t="s">
        <v>1027</v>
      </c>
      <c r="F14" s="13" t="s">
        <v>1051</v>
      </c>
      <c r="G14" s="13">
        <v>4</v>
      </c>
      <c r="H14" s="10">
        <v>0</v>
      </c>
      <c r="I14" s="10">
        <v>0</v>
      </c>
      <c r="J14" s="10">
        <v>0.45200000000000001</v>
      </c>
      <c r="K14" s="130">
        <f t="shared" si="0"/>
        <v>0.45200000000000001</v>
      </c>
    </row>
    <row r="15" spans="1:11" s="74" customFormat="1" ht="28.9" customHeight="1" x14ac:dyDescent="0.25">
      <c r="A15" s="140">
        <v>5</v>
      </c>
      <c r="B15" s="49" t="s">
        <v>2006</v>
      </c>
      <c r="C15" s="15" t="s">
        <v>39</v>
      </c>
      <c r="D15" s="7" t="s">
        <v>818</v>
      </c>
      <c r="E15" s="14" t="s">
        <v>1027</v>
      </c>
      <c r="F15" s="13" t="s">
        <v>1051</v>
      </c>
      <c r="G15" s="13">
        <v>4</v>
      </c>
      <c r="H15" s="10">
        <f>0.452+0.4</f>
        <v>0.85200000000000009</v>
      </c>
      <c r="I15" s="10">
        <v>0</v>
      </c>
      <c r="J15" s="10">
        <v>0</v>
      </c>
      <c r="K15" s="130">
        <f t="shared" si="0"/>
        <v>0.85200000000000009</v>
      </c>
    </row>
    <row r="16" spans="1:11" s="74" customFormat="1" ht="28.15" customHeight="1" x14ac:dyDescent="0.25">
      <c r="A16" s="140">
        <v>6</v>
      </c>
      <c r="B16" s="49" t="s">
        <v>2007</v>
      </c>
      <c r="C16" s="15" t="s">
        <v>39</v>
      </c>
      <c r="D16" s="7" t="s">
        <v>819</v>
      </c>
      <c r="E16" s="14" t="s">
        <v>1027</v>
      </c>
      <c r="F16" s="13" t="s">
        <v>1051</v>
      </c>
      <c r="G16" s="13">
        <v>4</v>
      </c>
      <c r="H16" s="10">
        <f>0.46+0.86</f>
        <v>1.32</v>
      </c>
      <c r="I16" s="10">
        <v>0.86</v>
      </c>
      <c r="J16" s="10">
        <v>0</v>
      </c>
      <c r="K16" s="130">
        <f t="shared" si="0"/>
        <v>1.32</v>
      </c>
    </row>
    <row r="17" spans="1:11" s="74" customFormat="1" ht="33" customHeight="1" x14ac:dyDescent="0.25">
      <c r="A17" s="140">
        <v>7</v>
      </c>
      <c r="B17" s="49" t="s">
        <v>2008</v>
      </c>
      <c r="C17" s="15" t="s">
        <v>39</v>
      </c>
      <c r="D17" s="7" t="s">
        <v>820</v>
      </c>
      <c r="E17" s="14" t="s">
        <v>1027</v>
      </c>
      <c r="F17" s="13" t="s">
        <v>1051</v>
      </c>
      <c r="G17" s="13">
        <v>3.5</v>
      </c>
      <c r="H17" s="10">
        <v>0.88</v>
      </c>
      <c r="I17" s="10">
        <v>0.88</v>
      </c>
      <c r="J17" s="10">
        <v>0</v>
      </c>
      <c r="K17" s="130">
        <f t="shared" si="0"/>
        <v>0.88</v>
      </c>
    </row>
    <row r="18" spans="1:11" s="74" customFormat="1" ht="37.15" customHeight="1" x14ac:dyDescent="0.25">
      <c r="A18" s="140">
        <v>8</v>
      </c>
      <c r="B18" s="49" t="s">
        <v>2009</v>
      </c>
      <c r="C18" s="15" t="s">
        <v>38</v>
      </c>
      <c r="D18" s="7" t="s">
        <v>1024</v>
      </c>
      <c r="E18" s="14" t="s">
        <v>1027</v>
      </c>
      <c r="F18" s="13" t="s">
        <v>1051</v>
      </c>
      <c r="G18" s="13">
        <v>3.5</v>
      </c>
      <c r="H18" s="10">
        <v>0</v>
      </c>
      <c r="I18" s="10">
        <v>0</v>
      </c>
      <c r="J18" s="10">
        <v>0.48</v>
      </c>
      <c r="K18" s="130">
        <f t="shared" si="0"/>
        <v>0.48</v>
      </c>
    </row>
    <row r="19" spans="1:11" s="74" customFormat="1" ht="32.450000000000003" customHeight="1" x14ac:dyDescent="0.25">
      <c r="A19" s="140">
        <v>9</v>
      </c>
      <c r="B19" s="49" t="s">
        <v>2010</v>
      </c>
      <c r="C19" s="15" t="s">
        <v>976</v>
      </c>
      <c r="D19" s="7" t="s">
        <v>821</v>
      </c>
      <c r="E19" s="14" t="s">
        <v>1027</v>
      </c>
      <c r="F19" s="13" t="s">
        <v>1051</v>
      </c>
      <c r="G19" s="13">
        <v>3.5</v>
      </c>
      <c r="H19" s="10">
        <f>0.4+0.221</f>
        <v>0.621</v>
      </c>
      <c r="I19" s="10">
        <v>0.4</v>
      </c>
      <c r="J19" s="10">
        <v>0</v>
      </c>
      <c r="K19" s="130">
        <f t="shared" si="0"/>
        <v>0.621</v>
      </c>
    </row>
    <row r="20" spans="1:11" s="74" customFormat="1" ht="31.15" customHeight="1" x14ac:dyDescent="0.25">
      <c r="A20" s="140">
        <v>10</v>
      </c>
      <c r="B20" s="49" t="s">
        <v>2011</v>
      </c>
      <c r="C20" s="15" t="s">
        <v>39</v>
      </c>
      <c r="D20" s="7" t="s">
        <v>822</v>
      </c>
      <c r="E20" s="14" t="s">
        <v>1027</v>
      </c>
      <c r="F20" s="13" t="s">
        <v>1051</v>
      </c>
      <c r="G20" s="13">
        <v>3.5</v>
      </c>
      <c r="H20" s="10">
        <v>0.42499999999999999</v>
      </c>
      <c r="I20" s="10">
        <v>0.42499999999999999</v>
      </c>
      <c r="J20" s="10">
        <v>0</v>
      </c>
      <c r="K20" s="130">
        <f t="shared" si="0"/>
        <v>0.42499999999999999</v>
      </c>
    </row>
    <row r="21" spans="1:11" s="74" customFormat="1" ht="25.15" customHeight="1" x14ac:dyDescent="0.25">
      <c r="A21" s="140">
        <v>11</v>
      </c>
      <c r="B21" s="49" t="s">
        <v>2012</v>
      </c>
      <c r="C21" s="15" t="s">
        <v>39</v>
      </c>
      <c r="D21" s="7" t="s">
        <v>823</v>
      </c>
      <c r="E21" s="14" t="s">
        <v>1027</v>
      </c>
      <c r="F21" s="13" t="s">
        <v>1051</v>
      </c>
      <c r="G21" s="13">
        <v>3.5</v>
      </c>
      <c r="H21" s="10">
        <f>1.106+0.719</f>
        <v>1.8250000000000002</v>
      </c>
      <c r="I21" s="10">
        <v>0</v>
      </c>
      <c r="J21" s="10">
        <v>0</v>
      </c>
      <c r="K21" s="130">
        <f t="shared" si="0"/>
        <v>1.8250000000000002</v>
      </c>
    </row>
    <row r="22" spans="1:11" s="74" customFormat="1" ht="30.6" customHeight="1" x14ac:dyDescent="0.25">
      <c r="A22" s="140">
        <v>12</v>
      </c>
      <c r="B22" s="49" t="s">
        <v>2013</v>
      </c>
      <c r="C22" s="15" t="s">
        <v>976</v>
      </c>
      <c r="D22" s="7" t="s">
        <v>824</v>
      </c>
      <c r="E22" s="14" t="s">
        <v>1027</v>
      </c>
      <c r="F22" s="13" t="s">
        <v>1051</v>
      </c>
      <c r="G22" s="13">
        <v>3.5</v>
      </c>
      <c r="H22" s="10">
        <f>0.4+0.34</f>
        <v>0.74</v>
      </c>
      <c r="I22" s="10">
        <v>0</v>
      </c>
      <c r="J22" s="10">
        <v>0</v>
      </c>
      <c r="K22" s="130">
        <f t="shared" si="0"/>
        <v>0.74</v>
      </c>
    </row>
    <row r="23" spans="1:11" s="74" customFormat="1" ht="34.15" customHeight="1" x14ac:dyDescent="0.25">
      <c r="A23" s="140">
        <v>13</v>
      </c>
      <c r="B23" s="49" t="s">
        <v>2014</v>
      </c>
      <c r="C23" s="15" t="s">
        <v>38</v>
      </c>
      <c r="D23" s="7" t="s">
        <v>1025</v>
      </c>
      <c r="E23" s="14" t="s">
        <v>1027</v>
      </c>
      <c r="F23" s="13" t="s">
        <v>1051</v>
      </c>
      <c r="G23" s="13">
        <v>3.5</v>
      </c>
      <c r="H23" s="10">
        <v>0</v>
      </c>
      <c r="I23" s="10">
        <v>0</v>
      </c>
      <c r="J23" s="10">
        <v>1.165</v>
      </c>
      <c r="K23" s="130">
        <f t="shared" si="0"/>
        <v>1.165</v>
      </c>
    </row>
    <row r="24" spans="1:11" s="74" customFormat="1" ht="26.45" customHeight="1" x14ac:dyDescent="0.25">
      <c r="A24" s="140">
        <v>14</v>
      </c>
      <c r="B24" s="49" t="s">
        <v>2015</v>
      </c>
      <c r="C24" s="15" t="s">
        <v>38</v>
      </c>
      <c r="D24" s="7" t="s">
        <v>825</v>
      </c>
      <c r="E24" s="14" t="s">
        <v>1027</v>
      </c>
      <c r="F24" s="13" t="s">
        <v>1051</v>
      </c>
      <c r="G24" s="13">
        <v>3.5</v>
      </c>
      <c r="H24" s="10">
        <v>0</v>
      </c>
      <c r="I24" s="10">
        <v>0</v>
      </c>
      <c r="J24" s="10">
        <v>11.164999999999999</v>
      </c>
      <c r="K24" s="130">
        <f t="shared" si="0"/>
        <v>11.164999999999999</v>
      </c>
    </row>
    <row r="25" spans="1:11" s="74" customFormat="1" ht="33" customHeight="1" x14ac:dyDescent="0.25">
      <c r="A25" s="140">
        <v>15</v>
      </c>
      <c r="B25" s="49" t="s">
        <v>2016</v>
      </c>
      <c r="C25" s="15" t="s">
        <v>38</v>
      </c>
      <c r="D25" s="7" t="s">
        <v>826</v>
      </c>
      <c r="E25" s="14" t="s">
        <v>1027</v>
      </c>
      <c r="F25" s="13" t="s">
        <v>1051</v>
      </c>
      <c r="G25" s="13">
        <v>3.5</v>
      </c>
      <c r="H25" s="10">
        <v>0</v>
      </c>
      <c r="I25" s="10">
        <v>0</v>
      </c>
      <c r="J25" s="10">
        <v>5.6369999999999996</v>
      </c>
      <c r="K25" s="130">
        <f t="shared" si="0"/>
        <v>5.6369999999999996</v>
      </c>
    </row>
    <row r="26" spans="1:11" s="74" customFormat="1" ht="28.9" customHeight="1" x14ac:dyDescent="0.25">
      <c r="A26" s="140">
        <v>16</v>
      </c>
      <c r="B26" s="49" t="s">
        <v>2017</v>
      </c>
      <c r="C26" s="15" t="s">
        <v>38</v>
      </c>
      <c r="D26" s="7" t="s">
        <v>827</v>
      </c>
      <c r="E26" s="14" t="s">
        <v>1027</v>
      </c>
      <c r="F26" s="13" t="s">
        <v>1051</v>
      </c>
      <c r="G26" s="13">
        <v>3.5</v>
      </c>
      <c r="H26" s="10">
        <v>1.0649999999999999</v>
      </c>
      <c r="I26" s="10">
        <v>0</v>
      </c>
      <c r="J26" s="10">
        <v>0</v>
      </c>
      <c r="K26" s="130">
        <f t="shared" si="0"/>
        <v>1.0649999999999999</v>
      </c>
    </row>
    <row r="27" spans="1:11" s="74" customFormat="1" ht="28.9" customHeight="1" x14ac:dyDescent="0.25">
      <c r="A27" s="140">
        <v>17</v>
      </c>
      <c r="B27" s="49" t="s">
        <v>2018</v>
      </c>
      <c r="C27" s="15" t="s">
        <v>38</v>
      </c>
      <c r="D27" s="7" t="s">
        <v>828</v>
      </c>
      <c r="E27" s="14" t="s">
        <v>1027</v>
      </c>
      <c r="F27" s="13" t="s">
        <v>1051</v>
      </c>
      <c r="G27" s="13">
        <v>3.5</v>
      </c>
      <c r="H27" s="10">
        <v>0</v>
      </c>
      <c r="I27" s="10">
        <v>0</v>
      </c>
      <c r="J27" s="10">
        <v>1.9930000000000001</v>
      </c>
      <c r="K27" s="130">
        <f t="shared" si="0"/>
        <v>1.9930000000000001</v>
      </c>
    </row>
    <row r="28" spans="1:11" s="74" customFormat="1" ht="36.6" customHeight="1" x14ac:dyDescent="0.25">
      <c r="A28" s="140">
        <v>18</v>
      </c>
      <c r="B28" s="49" t="s">
        <v>2019</v>
      </c>
      <c r="C28" s="15" t="s">
        <v>38</v>
      </c>
      <c r="D28" s="7" t="s">
        <v>829</v>
      </c>
      <c r="E28" s="14" t="s">
        <v>1027</v>
      </c>
      <c r="F28" s="13" t="s">
        <v>1051</v>
      </c>
      <c r="G28" s="13">
        <v>3.5</v>
      </c>
      <c r="H28" s="10">
        <v>5.3319999999999999</v>
      </c>
      <c r="I28" s="10">
        <v>0</v>
      </c>
      <c r="J28" s="10">
        <v>0</v>
      </c>
      <c r="K28" s="130">
        <f t="shared" si="0"/>
        <v>5.3319999999999999</v>
      </c>
    </row>
    <row r="29" spans="1:11" s="74" customFormat="1" ht="36" customHeight="1" x14ac:dyDescent="0.25">
      <c r="A29" s="140">
        <v>19</v>
      </c>
      <c r="B29" s="49" t="s">
        <v>2020</v>
      </c>
      <c r="C29" s="15" t="s">
        <v>38</v>
      </c>
      <c r="D29" s="7" t="s">
        <v>999</v>
      </c>
      <c r="E29" s="14" t="s">
        <v>1027</v>
      </c>
      <c r="F29" s="13" t="s">
        <v>1051</v>
      </c>
      <c r="G29" s="13">
        <v>3.5</v>
      </c>
      <c r="H29" s="10">
        <v>0</v>
      </c>
      <c r="I29" s="10">
        <v>0</v>
      </c>
      <c r="J29" s="10">
        <v>3.9569999999999999</v>
      </c>
      <c r="K29" s="130">
        <f t="shared" si="0"/>
        <v>3.9569999999999999</v>
      </c>
    </row>
    <row r="30" spans="1:11" s="74" customFormat="1" ht="30" customHeight="1" x14ac:dyDescent="0.25">
      <c r="A30" s="140">
        <v>20</v>
      </c>
      <c r="B30" s="49" t="s">
        <v>2021</v>
      </c>
      <c r="C30" s="15" t="s">
        <v>38</v>
      </c>
      <c r="D30" s="7" t="s">
        <v>830</v>
      </c>
      <c r="E30" s="14" t="s">
        <v>1027</v>
      </c>
      <c r="F30" s="13" t="s">
        <v>1051</v>
      </c>
      <c r="G30" s="13">
        <v>3.5</v>
      </c>
      <c r="H30" s="10">
        <v>0</v>
      </c>
      <c r="I30" s="10">
        <v>0</v>
      </c>
      <c r="J30" s="10">
        <v>0.82199999999999995</v>
      </c>
      <c r="K30" s="130">
        <f t="shared" si="0"/>
        <v>0.82199999999999995</v>
      </c>
    </row>
    <row r="31" spans="1:11" s="74" customFormat="1" ht="33.6" customHeight="1" x14ac:dyDescent="0.25">
      <c r="A31" s="140">
        <v>21</v>
      </c>
      <c r="B31" s="49" t="s">
        <v>2022</v>
      </c>
      <c r="C31" s="15" t="s">
        <v>38</v>
      </c>
      <c r="D31" s="7" t="s">
        <v>1026</v>
      </c>
      <c r="E31" s="14" t="s">
        <v>1027</v>
      </c>
      <c r="F31" s="13" t="s">
        <v>1051</v>
      </c>
      <c r="G31" s="13">
        <v>3.5</v>
      </c>
      <c r="H31" s="10">
        <v>0</v>
      </c>
      <c r="I31" s="10">
        <v>0</v>
      </c>
      <c r="J31" s="10">
        <v>4.2240000000000002</v>
      </c>
      <c r="K31" s="130">
        <f t="shared" si="0"/>
        <v>4.2240000000000002</v>
      </c>
    </row>
    <row r="32" spans="1:11" s="74" customFormat="1" ht="33" customHeight="1" x14ac:dyDescent="0.25">
      <c r="A32" s="140">
        <v>22</v>
      </c>
      <c r="B32" s="49" t="s">
        <v>2023</v>
      </c>
      <c r="C32" s="15" t="s">
        <v>38</v>
      </c>
      <c r="D32" s="7" t="s">
        <v>831</v>
      </c>
      <c r="E32" s="14" t="s">
        <v>1027</v>
      </c>
      <c r="F32" s="13" t="s">
        <v>1051</v>
      </c>
      <c r="G32" s="13">
        <v>3.5</v>
      </c>
      <c r="H32" s="10">
        <v>3.2519999999999998</v>
      </c>
      <c r="I32" s="10">
        <v>0</v>
      </c>
      <c r="J32" s="10">
        <v>0</v>
      </c>
      <c r="K32" s="130">
        <f t="shared" si="0"/>
        <v>3.2519999999999998</v>
      </c>
    </row>
  </sheetData>
  <sheetProtection insertRows="0" deleteRows="0" sort="0"/>
  <mergeCells count="9">
    <mergeCell ref="C1:I1"/>
    <mergeCell ref="G7:G8"/>
    <mergeCell ref="K7:K8"/>
    <mergeCell ref="F7:F8"/>
    <mergeCell ref="A7:A8"/>
    <mergeCell ref="B7:B8"/>
    <mergeCell ref="C7:C8"/>
    <mergeCell ref="D7:D8"/>
    <mergeCell ref="E7:E8"/>
  </mergeCells>
  <conditionalFormatting sqref="K11:K32">
    <cfRule type="expression" dxfId="30" priority="2">
      <formula>$H11+$J11&lt;&gt;$K11</formula>
    </cfRule>
  </conditionalFormatting>
  <conditionalFormatting sqref="H10:K10">
    <cfRule type="expression" dxfId="29" priority="227">
      <formula>H$10&lt;&gt;SUM(H$11:H$307)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29</vt:i4>
      </vt:variant>
      <vt:variant>
        <vt:lpstr>Именованные диапазоны</vt:lpstr>
      </vt:variant>
      <vt:variant>
        <vt:i4>5</vt:i4>
      </vt:variant>
    </vt:vector>
  </HeadingPairs>
  <TitlesOfParts>
    <vt:vector size="34" baseType="lpstr">
      <vt:lpstr>Общая</vt:lpstr>
      <vt:lpstr>Район</vt:lpstr>
      <vt:lpstr>Бодеевское с.п.</vt:lpstr>
      <vt:lpstr>Высокинское с.п.</vt:lpstr>
      <vt:lpstr>Дракинское с.п.</vt:lpstr>
      <vt:lpstr>Залуженское с.п.</vt:lpstr>
      <vt:lpstr>Ковалевское с.п.</vt:lpstr>
      <vt:lpstr>Коломыцевское с.п.</vt:lpstr>
      <vt:lpstr>Колыбельское с.п.</vt:lpstr>
      <vt:lpstr>Копанищенское с.п.</vt:lpstr>
      <vt:lpstr>Краснознаменское с.п.</vt:lpstr>
      <vt:lpstr>Нижнеикорецкое с.п.</vt:lpstr>
      <vt:lpstr>Петровское с.п.</vt:lpstr>
      <vt:lpstr>Петропавловское с.п.</vt:lpstr>
      <vt:lpstr>Почепское с.п.</vt:lpstr>
      <vt:lpstr>Селявинское с.п.</vt:lpstr>
      <vt:lpstr>Среднеикорецкое с.п.</vt:lpstr>
      <vt:lpstr>Старохворостанское с.п.</vt:lpstr>
      <vt:lpstr>Степнянское с.п.</vt:lpstr>
      <vt:lpstr>Сторожевское с.п.</vt:lpstr>
      <vt:lpstr>Тресоруковское с.п.</vt:lpstr>
      <vt:lpstr>Троицкое с.п.</vt:lpstr>
      <vt:lpstr>Щучинское с.п.</vt:lpstr>
      <vt:lpstr>Давыдовское г.п.</vt:lpstr>
      <vt:lpstr>г.п.г. Лиски</vt:lpstr>
      <vt:lpstr>Лист4</vt:lpstr>
      <vt:lpstr>Пояснения</vt:lpstr>
      <vt:lpstr>Лист2</vt:lpstr>
      <vt:lpstr>Лист3</vt:lpstr>
      <vt:lpstr>'г.п.г. Лиски'!Заголовки_для_печати</vt:lpstr>
      <vt:lpstr>'Бодеевское с.п.'!Область_печати</vt:lpstr>
      <vt:lpstr>'Высокинское с.п.'!Область_печати</vt:lpstr>
      <vt:lpstr>'Дракинское с.п.'!Область_печати</vt:lpstr>
      <vt:lpstr>'Краснознаменское с.п.'!Область_печати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2023-02-08T11:27:23Z</dcterms:modified>
</cp:coreProperties>
</file>